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8526"/>
  <workbookPr updateLinks="always" codeName="ThisWorkbook" hidePivotFieldList="1"/>
  <mc:AlternateContent xmlns:mc="http://schemas.openxmlformats.org/markup-compatibility/2006">
    <mc:Choice Requires="x15">
      <x15ac:absPath xmlns:x15ac="http://schemas.microsoft.com/office/spreadsheetml/2010/11/ac" url="N:\CommInv\Procedures Binder\2025 Procedures Forms\Forms\Final\AHP\2025 Income Limits Update\"/>
    </mc:Choice>
  </mc:AlternateContent>
  <xr:revisionPtr revIDLastSave="0" documentId="13_ncr:1_{9D41E1A3-304D-4558-9102-D323B50115B3}" xr6:coauthVersionLast="47" xr6:coauthVersionMax="47" xr10:uidLastSave="{00000000-0000-0000-0000-000000000000}"/>
  <workbookProtection workbookAlgorithmName="SHA-512" workbookHashValue="R4EgbfZO3paCHnbpXSWSXRUA0ftBkntUmjnaYETZ3jHbdX+kxJ4cJu4QUANvycgloUXsKzddEy0NtAGQ1pJ+iQ==" workbookSaltValue="zRPvJ2/vhPnXZilCtIaZng==" workbookSpinCount="100000" lockStructure="1"/>
  <bookViews>
    <workbookView xWindow="28680" yWindow="-120" windowWidth="29040" windowHeight="15720" tabRatio="740" firstSheet="4" activeTab="4" xr2:uid="{00000000-000D-0000-FFFF-FFFF00000000}"/>
  </bookViews>
  <sheets>
    <sheet name="Revisions" sheetId="19" state="hidden" r:id="rId1"/>
    <sheet name="Download" sheetId="20" state="hidden" r:id="rId2"/>
    <sheet name="USDA Income Limits" sheetId="21" state="hidden" r:id="rId3"/>
    <sheet name="RBA Data" sheetId="18" state="hidden" r:id="rId4"/>
    <sheet name="Project Information" sheetId="2" r:id="rId5"/>
    <sheet name="Rental Project Worksheet" sheetId="4" r:id="rId6"/>
    <sheet name="Development Budget Worksheet" sheetId="5" r:id="rId7"/>
    <sheet name="Sources of Funds Worksheet" sheetId="9" r:id="rId8"/>
    <sheet name="Housing Pro Forma" sheetId="10" r:id="rId9"/>
    <sheet name="Services Pro Forma" sheetId="11" r:id="rId10"/>
    <sheet name="Feasibility Analysis Worksheet" sheetId="13" r:id="rId11"/>
    <sheet name="Income Limits" sheetId="1" state="hidden" r:id="rId12"/>
  </sheets>
  <definedNames>
    <definedName name="anscount" hidden="1">1</definedName>
    <definedName name="County">'Income Limits'!$B$3:$B$402</definedName>
    <definedName name="Date">'Project Information'!$E$5</definedName>
    <definedName name="Effective_Date">'USDA Income Limits'!$C$3:$C$30</definedName>
    <definedName name="Effective_Date_Year">'USDA Income Limits'!$B$3:$B$30</definedName>
    <definedName name="IncomeLimits">'Income Limits'!$C$2:$AZ$402</definedName>
    <definedName name="_xlnm.Print_Area" localSheetId="6">'Development Budget Worksheet'!$A$4:$F$129</definedName>
    <definedName name="_xlnm.Print_Area" localSheetId="10">'Feasibility Analysis Worksheet'!$A$4:$I$58</definedName>
    <definedName name="_xlnm.Print_Area" localSheetId="8">'Housing Pro Forma'!$A$4:$S$66</definedName>
    <definedName name="_xlnm.Print_Area" localSheetId="4">'Project Information'!$A$3:$G$28</definedName>
    <definedName name="_xlnm.Print_Area" localSheetId="5">'Rental Project Worksheet'!$A$3:$J$70</definedName>
    <definedName name="_xlnm.Print_Area" localSheetId="9">'Services Pro Forma'!$A$8:$Q$55</definedName>
    <definedName name="_xlnm.Print_Area" localSheetId="7">'Sources of Funds Worksheet'!$A$6:$P$51</definedName>
    <definedName name="_xlnm.Print_Titles" localSheetId="6">'Development Budget Worksheet'!$3:$4</definedName>
    <definedName name="_xlnm.Print_Titles" localSheetId="8">'Housing Pro Forma'!$A:$A</definedName>
    <definedName name="_xlnm.Print_Titles" localSheetId="9">'Services Pro Forma'!$A:$A</definedName>
    <definedName name="solver_adj" localSheetId="8" hidden="1">'Housing Pro Forma'!$E$46:$E$47,'Housing Pro Forma'!#REF!,'Housing Pro Forma'!$E$11,'Housing Pro Forma'!$E$13:$E$14,'Housing Pro Forma'!$D$12,'Housing Pro Forma'!$E$41:$E$43,'Housing Pro Forma'!$E$20:$E$33</definedName>
    <definedName name="solver_adj" localSheetId="9" hidden="1">'Services Pro Forma'!#REF!,'Services Pro Forma'!#REF!,'Services Pro Forma'!#REF!,'Services Pro Forma'!$C$15:$C$16,'Services Pro Forma'!#REF!,'Services Pro Forma'!#REF!,'Services Pro Forma'!$C$20:$C$39</definedName>
    <definedName name="solver_drv" localSheetId="8" hidden="1">1</definedName>
    <definedName name="solver_drv" localSheetId="9" hidden="1">1</definedName>
    <definedName name="solver_est" localSheetId="8" hidden="1">1</definedName>
    <definedName name="solver_est" localSheetId="9" hidden="1">1</definedName>
    <definedName name="solver_itr" localSheetId="8" hidden="1">100</definedName>
    <definedName name="solver_itr" localSheetId="9" hidden="1">100</definedName>
    <definedName name="solver_lin" localSheetId="8" hidden="1">0</definedName>
    <definedName name="solver_lin" localSheetId="9" hidden="1">0</definedName>
    <definedName name="solver_num" localSheetId="8" hidden="1">0</definedName>
    <definedName name="solver_num" localSheetId="9" hidden="1">0</definedName>
    <definedName name="solver_nwt" localSheetId="8" hidden="1">1</definedName>
    <definedName name="solver_nwt" localSheetId="9" hidden="1">1</definedName>
    <definedName name="solver_opt" localSheetId="8" hidden="1">'Housing Pro Forma'!$E$55</definedName>
    <definedName name="solver_opt" localSheetId="9" hidden="1">'Services Pro Forma'!#REF!</definedName>
    <definedName name="solver_pre" localSheetId="8" hidden="1">0.000001</definedName>
    <definedName name="solver_pre" localSheetId="9" hidden="1">0.000001</definedName>
    <definedName name="solver_scl" localSheetId="8" hidden="1">0</definedName>
    <definedName name="solver_scl" localSheetId="9" hidden="1">0</definedName>
    <definedName name="solver_sho" localSheetId="8" hidden="1">0</definedName>
    <definedName name="solver_sho" localSheetId="9" hidden="1">0</definedName>
    <definedName name="solver_tim" localSheetId="8" hidden="1">100</definedName>
    <definedName name="solver_tim" localSheetId="9" hidden="1">100</definedName>
    <definedName name="solver_tmp" localSheetId="8" hidden="1">'Housing Pro Forma'!$E$46:$E$47,'Housing Pro Forma'!#REF!,'Housing Pro Forma'!$E$11,'Housing Pro Forma'!$E$13:$E$14,'Housing Pro Forma'!$D$12,'Housing Pro Forma'!$E$41:$E$43,'Housing Pro Forma'!$E$20:$E$33</definedName>
    <definedName name="solver_tmp" localSheetId="9" hidden="1">'Services Pro Forma'!#REF!,'Services Pro Forma'!#REF!,'Services Pro Forma'!#REF!,'Services Pro Forma'!$C$15:$C$16,'Services Pro Forma'!#REF!,'Services Pro Forma'!#REF!,'Services Pro Forma'!$C$20:$C$39</definedName>
    <definedName name="solver_tol" localSheetId="8" hidden="1">0.05</definedName>
    <definedName name="solver_tol" localSheetId="9" hidden="1">0.05</definedName>
    <definedName name="solver_typ" localSheetId="8" hidden="1">3</definedName>
    <definedName name="solver_typ" localSheetId="9" hidden="1">3</definedName>
    <definedName name="solver_val" localSheetId="8" hidden="1">1.15</definedName>
    <definedName name="solver_val" localSheetId="9" hidden="1">1.15</definedName>
    <definedName name="USDA_2021_Income_Limits">'USDA Income Limits'!$F$3:$I$366</definedName>
    <definedName name="USDA_2022_Income_Limits">'USDA Income Limits'!$J$3:$M$366</definedName>
    <definedName name="USDA_2023_Income_Limits">'USDA Income Limits'!$N$3:$Q$366</definedName>
    <definedName name="USDA_2024_Income_Limits">'USDA Income Limits'!$R$3:$U$366</definedName>
    <definedName name="USDA_2025_Income_Limits">'USDA Income Limits'!$V$3:$Y$366</definedName>
    <definedName name="USDA_Counties">'USDA Income Limits'!$E$3:$E$366</definedName>
    <definedName name="Year">'Income Limits'!$C$2:$AZ$2</definedName>
    <definedName name="Z_695F2D09_97F7_4A62_ACE9_B0C2EFD91E95_.wvu.Cols" localSheetId="6" hidden="1">'Development Budget Worksheet'!$G:$H</definedName>
    <definedName name="Z_695F2D09_97F7_4A62_ACE9_B0C2EFD91E95_.wvu.Cols" localSheetId="8" hidden="1">'Housing Pro Forma'!$U:$U</definedName>
    <definedName name="Z_695F2D09_97F7_4A62_ACE9_B0C2EFD91E95_.wvu.Cols" localSheetId="9" hidden="1">'Services Pro Forma'!$T:$T</definedName>
    <definedName name="Z_695F2D09_97F7_4A62_ACE9_B0C2EFD91E95_.wvu.Cols" localSheetId="7" hidden="1">'Sources of Funds Worksheet'!$R:$AN</definedName>
    <definedName name="Z_695F2D09_97F7_4A62_ACE9_B0C2EFD91E95_.wvu.PrintArea" localSheetId="6" hidden="1">'Development Budget Worksheet'!$A$4:$F$129</definedName>
    <definedName name="Z_695F2D09_97F7_4A62_ACE9_B0C2EFD91E95_.wvu.PrintArea" localSheetId="10" hidden="1">'Feasibility Analysis Worksheet'!$A$4:$I$58</definedName>
    <definedName name="Z_695F2D09_97F7_4A62_ACE9_B0C2EFD91E95_.wvu.PrintArea" localSheetId="8" hidden="1">'Housing Pro Forma'!$A$4:$S$66</definedName>
    <definedName name="Z_695F2D09_97F7_4A62_ACE9_B0C2EFD91E95_.wvu.PrintArea" localSheetId="4" hidden="1">'Project Information'!$A$3:$F$28</definedName>
    <definedName name="Z_695F2D09_97F7_4A62_ACE9_B0C2EFD91E95_.wvu.PrintArea" localSheetId="5" hidden="1">'Rental Project Worksheet'!$A$3:$J$70</definedName>
    <definedName name="Z_695F2D09_97F7_4A62_ACE9_B0C2EFD91E95_.wvu.PrintArea" localSheetId="9" hidden="1">'Services Pro Forma'!$A$8:$Q$55</definedName>
    <definedName name="Z_695F2D09_97F7_4A62_ACE9_B0C2EFD91E95_.wvu.PrintArea" localSheetId="7" hidden="1">'Sources of Funds Worksheet'!$A$6:$P$51</definedName>
    <definedName name="Z_695F2D09_97F7_4A62_ACE9_B0C2EFD91E95_.wvu.PrintTitles" localSheetId="6" hidden="1">'Development Budget Worksheet'!$3:$4</definedName>
    <definedName name="Z_695F2D09_97F7_4A62_ACE9_B0C2EFD91E95_.wvu.PrintTitles" localSheetId="8" hidden="1">'Housing Pro Forma'!$A:$A</definedName>
    <definedName name="Z_695F2D09_97F7_4A62_ACE9_B0C2EFD91E95_.wvu.PrintTitles" localSheetId="9" hidden="1">'Services Pro Forma'!$A:$A</definedName>
  </definedNames>
  <calcPr calcId="191029"/>
  <customWorkbookViews>
    <customWorkbookView name="jacksona - Personal View" guid="{695F2D09-97F7-4A62-ACE9-B0C2EFD91E95}" mergeInterval="0" personalView="1" maximized="1" xWindow="1" yWindow="1" windowWidth="1280" windowHeight="793" tabRatio="819" activeSheetId="19"/>
  </customWorkbookViews>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F3" i="13" l="1"/>
  <c r="P10" i="11"/>
  <c r="R3" i="10"/>
  <c r="C3" i="4"/>
  <c r="B1" i="9"/>
  <c r="B4" i="5"/>
  <c r="B143" i="18"/>
  <c r="B142" i="18"/>
  <c r="B141" i="18"/>
  <c r="H6" i="4" l="1" a="1"/>
  <c r="H6" i="4" s="1"/>
  <c r="G41" i="10" l="1"/>
  <c r="H41" i="10" s="1"/>
  <c r="I41" i="10" s="1"/>
  <c r="J41" i="10" s="1"/>
  <c r="K41" i="10" s="1"/>
  <c r="L41" i="10" s="1"/>
  <c r="M41" i="10" s="1"/>
  <c r="N41" i="10" s="1"/>
  <c r="O41" i="10" s="1"/>
  <c r="P41" i="10" s="1"/>
  <c r="Q41" i="10" s="1"/>
  <c r="R41" i="10" s="1"/>
  <c r="S41" i="10" s="1"/>
  <c r="F13" i="10"/>
  <c r="G13" i="10" s="1"/>
  <c r="H13" i="10" s="1"/>
  <c r="I13" i="10" s="1"/>
  <c r="J13" i="10" s="1"/>
  <c r="K13" i="10" s="1"/>
  <c r="L13" i="10" s="1"/>
  <c r="M13" i="10" s="1"/>
  <c r="N13" i="10" s="1"/>
  <c r="O13" i="10" s="1"/>
  <c r="P13" i="10" s="1"/>
  <c r="Q13" i="10" s="1"/>
  <c r="R13" i="10" s="1"/>
  <c r="S13" i="10" s="1"/>
  <c r="F41" i="10"/>
  <c r="P8" i="9" l="1"/>
  <c r="P9" i="9"/>
  <c r="P11" i="9"/>
  <c r="P12" i="9"/>
  <c r="P13" i="9"/>
  <c r="P14" i="9"/>
  <c r="P15" i="9"/>
  <c r="P16" i="9"/>
  <c r="P17" i="9"/>
  <c r="P18" i="9"/>
  <c r="P19" i="9"/>
  <c r="P20" i="9"/>
  <c r="P21" i="9"/>
  <c r="P22" i="9"/>
  <c r="P10" i="9"/>
  <c r="O25" i="9" a="1"/>
  <c r="O25" i="9" s="1"/>
  <c r="N25" i="9" a="1"/>
  <c r="N25" i="9" s="1"/>
  <c r="D16" i="2" l="1"/>
  <c r="E12" i="2" l="1"/>
  <c r="B400" i="20" l="1"/>
  <c r="B104" i="18"/>
  <c r="B103" i="18"/>
  <c r="B102" i="18"/>
  <c r="A26" i="2" l="1"/>
  <c r="M20" i="2"/>
  <c r="B309" i="20" s="1"/>
  <c r="M16" i="2"/>
  <c r="B359" i="20" s="1"/>
  <c r="M15" i="2"/>
  <c r="B429" i="20" s="1"/>
  <c r="M14" i="2"/>
  <c r="M13" i="2"/>
  <c r="M12" i="2"/>
  <c r="B336" i="20" s="1"/>
  <c r="M10" i="2"/>
  <c r="B398" i="20" s="1"/>
  <c r="M8" i="2"/>
  <c r="B362" i="20" s="1"/>
  <c r="M7" i="2"/>
  <c r="B363" i="20" s="1"/>
  <c r="M18" i="2"/>
  <c r="B299" i="20" s="1"/>
  <c r="M17" i="2"/>
  <c r="B298" i="20" s="1"/>
  <c r="M19" i="2"/>
  <c r="B428" i="20" s="1"/>
  <c r="B328" i="20" l="1"/>
  <c r="J29" i="5"/>
  <c r="B329" i="20"/>
  <c r="J28" i="5"/>
  <c r="B99" i="18"/>
  <c r="I11" i="2"/>
  <c r="I10" i="2"/>
  <c r="H9" i="2"/>
  <c r="B360" i="20" l="1"/>
  <c r="B101" i="18"/>
  <c r="M11" i="2"/>
  <c r="H112" i="5" s="1"/>
  <c r="E112" i="5" s="1"/>
  <c r="D8" i="2"/>
  <c r="H30" i="5" l="1"/>
  <c r="E30" i="5" s="1"/>
  <c r="H114" i="5"/>
  <c r="E114" i="5" s="1"/>
  <c r="H15" i="5"/>
  <c r="E15" i="5" s="1"/>
  <c r="H56" i="5"/>
  <c r="E56" i="5" s="1"/>
  <c r="H46" i="5"/>
  <c r="E46" i="5" s="1"/>
  <c r="H29" i="5"/>
  <c r="E29" i="5" s="1"/>
  <c r="H76" i="5"/>
  <c r="E76" i="5" s="1"/>
  <c r="H111" i="5"/>
  <c r="E111" i="5" s="1"/>
  <c r="H91" i="5"/>
  <c r="E91" i="5" s="1"/>
  <c r="H66" i="5"/>
  <c r="E66" i="5" s="1"/>
  <c r="H82" i="5"/>
  <c r="E82" i="5" s="1"/>
  <c r="H77" i="5"/>
  <c r="E77" i="5" s="1"/>
  <c r="H32" i="5"/>
  <c r="E32" i="5" s="1"/>
  <c r="H86" i="5"/>
  <c r="E86" i="5" s="1"/>
  <c r="H65" i="5"/>
  <c r="E65" i="5" s="1"/>
  <c r="H16" i="5"/>
  <c r="E16" i="5" s="1"/>
  <c r="H19" i="5"/>
  <c r="E19" i="5" s="1"/>
  <c r="H39" i="5"/>
  <c r="E39" i="5" s="1"/>
  <c r="H70" i="5"/>
  <c r="E70" i="5" s="1"/>
  <c r="H104" i="5"/>
  <c r="E104" i="5" s="1"/>
  <c r="H37" i="5"/>
  <c r="E37" i="5" s="1"/>
  <c r="H55" i="5"/>
  <c r="E55" i="5" s="1"/>
  <c r="H98" i="5"/>
  <c r="E98" i="5" s="1"/>
  <c r="H11" i="5"/>
  <c r="E11" i="5" s="1"/>
  <c r="H85" i="5"/>
  <c r="E85" i="5" s="1"/>
  <c r="H45" i="5"/>
  <c r="E45" i="5" s="1"/>
  <c r="H110" i="5"/>
  <c r="E110" i="5" s="1"/>
  <c r="H17" i="5"/>
  <c r="E17" i="5" s="1"/>
  <c r="H7" i="5"/>
  <c r="E7" i="5" s="1"/>
  <c r="H99" i="5"/>
  <c r="E99" i="5" s="1"/>
  <c r="H10" i="5"/>
  <c r="E10" i="5" s="1"/>
  <c r="H84" i="5"/>
  <c r="E84" i="5" s="1"/>
  <c r="H73" i="5"/>
  <c r="E73" i="5" s="1"/>
  <c r="H47" i="5"/>
  <c r="E47" i="5" s="1"/>
  <c r="H95" i="5"/>
  <c r="E95" i="5" s="1"/>
  <c r="H57" i="5"/>
  <c r="E57" i="5" s="1"/>
  <c r="H33" i="5"/>
  <c r="E33" i="5" s="1"/>
  <c r="H36" i="5"/>
  <c r="E36" i="5" s="1"/>
  <c r="H35" i="5"/>
  <c r="E35" i="5" s="1"/>
  <c r="H75" i="5"/>
  <c r="E75" i="5" s="1"/>
  <c r="H105" i="5"/>
  <c r="E105" i="5" s="1"/>
  <c r="H21" i="5"/>
  <c r="E21" i="5" s="1"/>
  <c r="H61" i="5"/>
  <c r="E61" i="5" s="1"/>
  <c r="H44" i="5"/>
  <c r="E44" i="5" s="1"/>
  <c r="H8" i="5"/>
  <c r="E8" i="5" s="1"/>
  <c r="H72" i="5"/>
  <c r="E72" i="5" s="1"/>
  <c r="H96" i="5"/>
  <c r="E96" i="5" s="1"/>
  <c r="H34" i="5"/>
  <c r="E34" i="5" s="1"/>
  <c r="H74" i="5"/>
  <c r="E74" i="5" s="1"/>
  <c r="H9" i="5"/>
  <c r="E9" i="5" s="1"/>
  <c r="H48" i="5"/>
  <c r="E48" i="5" s="1"/>
  <c r="H97" i="5"/>
  <c r="E97" i="5" s="1"/>
  <c r="H43" i="5"/>
  <c r="E43" i="5" s="1"/>
  <c r="H22" i="5"/>
  <c r="E22" i="5" s="1"/>
  <c r="H31" i="5"/>
  <c r="E31" i="5" s="1"/>
  <c r="B23" i="13" s="1"/>
  <c r="H62" i="5"/>
  <c r="E62" i="5" s="1"/>
  <c r="H71" i="5"/>
  <c r="E71" i="5" s="1"/>
  <c r="H103" i="5"/>
  <c r="E103" i="5" s="1"/>
  <c r="H109" i="5"/>
  <c r="E109" i="5" s="1"/>
  <c r="H87" i="5"/>
  <c r="E87" i="5" s="1"/>
  <c r="H63" i="5"/>
  <c r="E63" i="5" s="1"/>
  <c r="H38" i="5"/>
  <c r="E38" i="5" s="1"/>
  <c r="H78" i="5"/>
  <c r="E78" i="5" s="1"/>
  <c r="H20" i="5"/>
  <c r="E20" i="5" s="1"/>
  <c r="H60" i="5"/>
  <c r="E60" i="5" s="1"/>
  <c r="H83" i="5"/>
  <c r="E83" i="5" s="1"/>
  <c r="H28" i="5"/>
  <c r="E28" i="5" s="1"/>
  <c r="H59" i="5"/>
  <c r="E59" i="5" s="1"/>
  <c r="H90" i="5"/>
  <c r="E90" i="5" s="1"/>
  <c r="H113" i="5"/>
  <c r="E113" i="5" s="1"/>
  <c r="H49" i="5"/>
  <c r="E49" i="5" s="1"/>
  <c r="H88" i="5"/>
  <c r="E88" i="5" s="1"/>
  <c r="H24" i="5"/>
  <c r="E24" i="5" s="1"/>
  <c r="H64" i="5"/>
  <c r="E64" i="5" s="1"/>
  <c r="H23" i="5"/>
  <c r="E23" i="5" s="1"/>
  <c r="H54" i="5"/>
  <c r="E54" i="5" s="1"/>
  <c r="H18" i="5"/>
  <c r="E18" i="5" s="1"/>
  <c r="H50" i="5"/>
  <c r="E50" i="5" s="1"/>
  <c r="H58" i="5"/>
  <c r="E58" i="5" s="1"/>
  <c r="H89" i="5"/>
  <c r="E89" i="5" s="1"/>
  <c r="H6" i="5"/>
  <c r="E6" i="5" s="1"/>
  <c r="B337" i="20"/>
  <c r="D9" i="2"/>
  <c r="D6" i="4"/>
  <c r="A5" i="4" s="1"/>
  <c r="B222" i="20"/>
  <c r="B156" i="20"/>
  <c r="S29" i="9"/>
  <c r="S30" i="9"/>
  <c r="B167" i="20"/>
  <c r="S31" i="9"/>
  <c r="B178" i="20"/>
  <c r="S32" i="9"/>
  <c r="B189" i="20"/>
  <c r="S33" i="9"/>
  <c r="B200" i="20"/>
  <c r="S34" i="9"/>
  <c r="B211" i="20"/>
  <c r="S35" i="9"/>
  <c r="S36" i="9"/>
  <c r="B233" i="20"/>
  <c r="S37" i="9"/>
  <c r="B244" i="20"/>
  <c r="S38" i="9"/>
  <c r="B255" i="20"/>
  <c r="S39" i="9"/>
  <c r="B266" i="20"/>
  <c r="S40" i="9"/>
  <c r="B277" i="20"/>
  <c r="Q45" i="11"/>
  <c r="P45" i="11"/>
  <c r="O45" i="11"/>
  <c r="N45" i="11"/>
  <c r="M45" i="11"/>
  <c r="L45" i="11"/>
  <c r="K45" i="11"/>
  <c r="J45" i="11"/>
  <c r="I45" i="11"/>
  <c r="H45" i="11"/>
  <c r="G45" i="11"/>
  <c r="F45" i="11"/>
  <c r="E45" i="11"/>
  <c r="D45" i="11"/>
  <c r="C45" i="11"/>
  <c r="K18" i="9"/>
  <c r="K19" i="9"/>
  <c r="B130" i="20"/>
  <c r="K20" i="9"/>
  <c r="K21" i="9"/>
  <c r="AK22" i="9"/>
  <c r="AJ22" i="9"/>
  <c r="AI22" i="9"/>
  <c r="AH22" i="9"/>
  <c r="AG22" i="9"/>
  <c r="AF22" i="9"/>
  <c r="AE22" i="9"/>
  <c r="AD22" i="9"/>
  <c r="AC22" i="9"/>
  <c r="AB22" i="9"/>
  <c r="AA22" i="9"/>
  <c r="Z22" i="9"/>
  <c r="Y22" i="9"/>
  <c r="X22" i="9"/>
  <c r="W22" i="9"/>
  <c r="AK21" i="9"/>
  <c r="AJ21" i="9"/>
  <c r="AI21" i="9"/>
  <c r="AH21" i="9"/>
  <c r="AG21" i="9"/>
  <c r="AF21" i="9"/>
  <c r="AE21" i="9"/>
  <c r="AD21" i="9"/>
  <c r="AC21" i="9"/>
  <c r="AB21" i="9"/>
  <c r="AA21" i="9"/>
  <c r="Z21" i="9"/>
  <c r="Y21" i="9"/>
  <c r="X21" i="9"/>
  <c r="W21" i="9"/>
  <c r="AK20" i="9"/>
  <c r="AJ20" i="9"/>
  <c r="AI20" i="9"/>
  <c r="AH20" i="9"/>
  <c r="AG20" i="9"/>
  <c r="AF20" i="9"/>
  <c r="AE20" i="9"/>
  <c r="AD20" i="9"/>
  <c r="AC20" i="9"/>
  <c r="AB20" i="9"/>
  <c r="AA20" i="9"/>
  <c r="Z20" i="9"/>
  <c r="Y20" i="9"/>
  <c r="X20" i="9"/>
  <c r="W20" i="9"/>
  <c r="AK19" i="9"/>
  <c r="AJ19" i="9"/>
  <c r="AI19" i="9"/>
  <c r="AH19" i="9"/>
  <c r="AG19" i="9"/>
  <c r="AF19" i="9"/>
  <c r="AE19" i="9"/>
  <c r="AD19" i="9"/>
  <c r="AC19" i="9"/>
  <c r="AB19" i="9"/>
  <c r="AA19" i="9"/>
  <c r="Z19" i="9"/>
  <c r="Y19" i="9"/>
  <c r="X19" i="9"/>
  <c r="W19" i="9"/>
  <c r="AK18" i="9"/>
  <c r="AJ18" i="9"/>
  <c r="AI18" i="9"/>
  <c r="AH18" i="9"/>
  <c r="AG18" i="9"/>
  <c r="AF18" i="9"/>
  <c r="AE18" i="9"/>
  <c r="AD18" i="9"/>
  <c r="AC18" i="9"/>
  <c r="AB18" i="9"/>
  <c r="AA18" i="9"/>
  <c r="Z18" i="9"/>
  <c r="Y18" i="9"/>
  <c r="X18" i="9"/>
  <c r="W18" i="9"/>
  <c r="AK17" i="9"/>
  <c r="AJ17" i="9"/>
  <c r="AI17" i="9"/>
  <c r="AH17" i="9"/>
  <c r="AG17" i="9"/>
  <c r="AF17" i="9"/>
  <c r="AE17" i="9"/>
  <c r="AD17" i="9"/>
  <c r="AC17" i="9"/>
  <c r="AB17" i="9"/>
  <c r="AA17" i="9"/>
  <c r="Z17" i="9"/>
  <c r="Y17" i="9"/>
  <c r="X17" i="9"/>
  <c r="W17" i="9"/>
  <c r="AK16" i="9"/>
  <c r="AJ16" i="9"/>
  <c r="AI16" i="9"/>
  <c r="AH16" i="9"/>
  <c r="AG16" i="9"/>
  <c r="AF16" i="9"/>
  <c r="AE16" i="9"/>
  <c r="AD16" i="9"/>
  <c r="AC16" i="9"/>
  <c r="AB16" i="9"/>
  <c r="AA16" i="9"/>
  <c r="Z16" i="9"/>
  <c r="Y16" i="9"/>
  <c r="X16" i="9"/>
  <c r="W16" i="9"/>
  <c r="AK15" i="9"/>
  <c r="AJ15" i="9"/>
  <c r="AI15" i="9"/>
  <c r="AH15" i="9"/>
  <c r="AG15" i="9"/>
  <c r="AF15" i="9"/>
  <c r="AE15" i="9"/>
  <c r="AD15" i="9"/>
  <c r="AC15" i="9"/>
  <c r="AB15" i="9"/>
  <c r="AA15" i="9"/>
  <c r="Z15" i="9"/>
  <c r="Y15" i="9"/>
  <c r="X15" i="9"/>
  <c r="W15" i="9"/>
  <c r="AK14" i="9"/>
  <c r="AJ14" i="9"/>
  <c r="AI14" i="9"/>
  <c r="AH14" i="9"/>
  <c r="AG14" i="9"/>
  <c r="AF14" i="9"/>
  <c r="AE14" i="9"/>
  <c r="AD14" i="9"/>
  <c r="AC14" i="9"/>
  <c r="AB14" i="9"/>
  <c r="AA14" i="9"/>
  <c r="Z14" i="9"/>
  <c r="Y14" i="9"/>
  <c r="X14" i="9"/>
  <c r="W14" i="9"/>
  <c r="AK12" i="9"/>
  <c r="AJ12" i="9"/>
  <c r="AI12" i="9"/>
  <c r="AH12" i="9"/>
  <c r="AG12" i="9"/>
  <c r="AF12" i="9"/>
  <c r="AE12" i="9"/>
  <c r="AD12" i="9"/>
  <c r="AC12" i="9"/>
  <c r="AB12" i="9"/>
  <c r="AA12" i="9"/>
  <c r="Z12" i="9"/>
  <c r="Y12" i="9"/>
  <c r="X12" i="9"/>
  <c r="W12" i="9"/>
  <c r="AK11" i="9"/>
  <c r="AJ11" i="9"/>
  <c r="AI11" i="9"/>
  <c r="AH11" i="9"/>
  <c r="AG11" i="9"/>
  <c r="AF11" i="9"/>
  <c r="AE11" i="9"/>
  <c r="AD11" i="9"/>
  <c r="AC11" i="9"/>
  <c r="AB11" i="9"/>
  <c r="AA11" i="9"/>
  <c r="Z11" i="9"/>
  <c r="Y11" i="9"/>
  <c r="X11" i="9"/>
  <c r="W11" i="9"/>
  <c r="D11" i="2"/>
  <c r="R26" i="4"/>
  <c r="B306" i="20" s="1"/>
  <c r="R28" i="4"/>
  <c r="B307" i="20"/>
  <c r="R30" i="4"/>
  <c r="R24" i="4"/>
  <c r="B305" i="20" s="1"/>
  <c r="R22" i="4"/>
  <c r="Q14" i="9"/>
  <c r="B144" i="20"/>
  <c r="B147" i="20"/>
  <c r="B145" i="20"/>
  <c r="S20" i="9"/>
  <c r="B134" i="20"/>
  <c r="S19" i="9"/>
  <c r="B123" i="20"/>
  <c r="S18" i="9"/>
  <c r="B112" i="20"/>
  <c r="S22" i="9"/>
  <c r="B101" i="20"/>
  <c r="S21" i="9"/>
  <c r="B90" i="20"/>
  <c r="S17" i="9"/>
  <c r="B79" i="20"/>
  <c r="S16" i="9"/>
  <c r="B68" i="20"/>
  <c r="B57" i="20"/>
  <c r="S15" i="9"/>
  <c r="B46" i="20" s="1"/>
  <c r="B35" i="20"/>
  <c r="B24" i="20"/>
  <c r="B13" i="20"/>
  <c r="B2" i="20"/>
  <c r="B348" i="20"/>
  <c r="F47" i="10"/>
  <c r="G47" i="10" s="1"/>
  <c r="L30" i="9"/>
  <c r="L41" i="9" s="1"/>
  <c r="B125" i="18"/>
  <c r="B123" i="18"/>
  <c r="B122" i="18"/>
  <c r="B110" i="18"/>
  <c r="B89" i="18"/>
  <c r="B90" i="18"/>
  <c r="B91" i="18"/>
  <c r="B92" i="18"/>
  <c r="B93" i="18"/>
  <c r="B88" i="18"/>
  <c r="B86" i="18"/>
  <c r="B87" i="18"/>
  <c r="B85" i="18"/>
  <c r="B81" i="18"/>
  <c r="B82" i="18"/>
  <c r="B83" i="18"/>
  <c r="B84" i="18"/>
  <c r="B80" i="18"/>
  <c r="B71" i="18"/>
  <c r="B72" i="18"/>
  <c r="B73" i="18"/>
  <c r="B74" i="18"/>
  <c r="B75" i="18"/>
  <c r="B76" i="18"/>
  <c r="B77" i="18"/>
  <c r="B78" i="18"/>
  <c r="B79" i="18"/>
  <c r="B62" i="18"/>
  <c r="B63" i="18"/>
  <c r="B64" i="18"/>
  <c r="B65" i="18"/>
  <c r="B66" i="18"/>
  <c r="B67" i="18"/>
  <c r="B68" i="18"/>
  <c r="B69" i="18"/>
  <c r="B49" i="18"/>
  <c r="B50" i="18"/>
  <c r="B51" i="18"/>
  <c r="B52" i="18"/>
  <c r="B53" i="18"/>
  <c r="B54" i="18"/>
  <c r="B55" i="18"/>
  <c r="B56" i="18"/>
  <c r="B57" i="18"/>
  <c r="B58" i="18"/>
  <c r="B59" i="18"/>
  <c r="B60" i="18"/>
  <c r="B48" i="18"/>
  <c r="B41" i="18"/>
  <c r="B42" i="18"/>
  <c r="B43" i="18"/>
  <c r="B44" i="18"/>
  <c r="B45" i="18"/>
  <c r="B46" i="18"/>
  <c r="B47" i="18"/>
  <c r="B40" i="18"/>
  <c r="B39" i="18"/>
  <c r="B2" i="18"/>
  <c r="B4" i="18"/>
  <c r="B5" i="18"/>
  <c r="B7" i="18"/>
  <c r="B13" i="18"/>
  <c r="B14" i="18"/>
  <c r="B15" i="18"/>
  <c r="B16" i="18"/>
  <c r="B17" i="18"/>
  <c r="B18" i="18"/>
  <c r="B19" i="18"/>
  <c r="B20" i="18"/>
  <c r="B21" i="18"/>
  <c r="B22" i="18"/>
  <c r="B23" i="18"/>
  <c r="B24" i="18"/>
  <c r="B25" i="18"/>
  <c r="B26" i="18"/>
  <c r="B27" i="18"/>
  <c r="B28" i="18"/>
  <c r="B29" i="18"/>
  <c r="B30" i="18"/>
  <c r="B31" i="18"/>
  <c r="B32" i="18"/>
  <c r="B33" i="18"/>
  <c r="B34" i="18"/>
  <c r="B35" i="18"/>
  <c r="B36" i="18"/>
  <c r="B37" i="18"/>
  <c r="B38" i="18"/>
  <c r="B61" i="18"/>
  <c r="B70" i="18"/>
  <c r="B98" i="18"/>
  <c r="B105" i="18"/>
  <c r="B162" i="18" s="1"/>
  <c r="B107" i="18"/>
  <c r="B108" i="18"/>
  <c r="B109" i="18"/>
  <c r="B111" i="18"/>
  <c r="B112" i="18"/>
  <c r="B113" i="18"/>
  <c r="B114" i="18"/>
  <c r="B115" i="18"/>
  <c r="B116" i="18"/>
  <c r="B118" i="18"/>
  <c r="B119" i="18"/>
  <c r="B120" i="18"/>
  <c r="B121" i="18"/>
  <c r="B124" i="18"/>
  <c r="B126" i="18"/>
  <c r="B127" i="18"/>
  <c r="B128" i="18"/>
  <c r="B129" i="18"/>
  <c r="B130" i="18"/>
  <c r="B131" i="18"/>
  <c r="B132" i="18"/>
  <c r="B133" i="18"/>
  <c r="B134" i="18"/>
  <c r="B135" i="18"/>
  <c r="B136" i="18"/>
  <c r="B137" i="18"/>
  <c r="B138" i="18"/>
  <c r="B139" i="18"/>
  <c r="B140" i="18"/>
  <c r="B144" i="18"/>
  <c r="B146" i="18"/>
  <c r="B147" i="18"/>
  <c r="B463" i="20"/>
  <c r="B464" i="20"/>
  <c r="R14" i="9"/>
  <c r="B146" i="20" s="1"/>
  <c r="B436" i="20"/>
  <c r="B414" i="20"/>
  <c r="B406" i="20"/>
  <c r="B324" i="20"/>
  <c r="F53" i="10"/>
  <c r="J55" i="5"/>
  <c r="B313" i="20"/>
  <c r="Q5" i="10"/>
  <c r="B334" i="20"/>
  <c r="R40" i="9"/>
  <c r="B281" i="20"/>
  <c r="B278" i="20"/>
  <c r="B276" i="20"/>
  <c r="R39" i="9"/>
  <c r="B270" i="20"/>
  <c r="B267" i="20"/>
  <c r="B265" i="20"/>
  <c r="R38" i="9"/>
  <c r="B259" i="20"/>
  <c r="B256" i="20"/>
  <c r="B254" i="20"/>
  <c r="R37" i="9"/>
  <c r="B248" i="20"/>
  <c r="B245" i="20"/>
  <c r="B243" i="20"/>
  <c r="R36" i="9"/>
  <c r="B237" i="20"/>
  <c r="B234" i="20"/>
  <c r="B232" i="20"/>
  <c r="R35" i="9"/>
  <c r="B226" i="20"/>
  <c r="B223" i="20"/>
  <c r="B221" i="20"/>
  <c r="R34" i="9"/>
  <c r="B215" i="20"/>
  <c r="B212" i="20"/>
  <c r="B210" i="20"/>
  <c r="R33" i="9"/>
  <c r="B204" i="20"/>
  <c r="B201" i="20"/>
  <c r="B199" i="20"/>
  <c r="R32" i="9"/>
  <c r="B193" i="20"/>
  <c r="B190" i="20"/>
  <c r="B188" i="20"/>
  <c r="R31" i="9"/>
  <c r="B182" i="20"/>
  <c r="B179" i="20"/>
  <c r="B177" i="20"/>
  <c r="B168" i="20"/>
  <c r="B166" i="20"/>
  <c r="R30" i="9"/>
  <c r="B171" i="20"/>
  <c r="R29" i="9"/>
  <c r="B160" i="20"/>
  <c r="T10" i="9"/>
  <c r="B28" i="20" s="1"/>
  <c r="T12" i="9"/>
  <c r="B61" i="20"/>
  <c r="T13" i="9"/>
  <c r="B6" i="20" s="1"/>
  <c r="T14" i="9"/>
  <c r="B39" i="20"/>
  <c r="T15" i="9"/>
  <c r="T16" i="9"/>
  <c r="B72" i="20"/>
  <c r="T17" i="9"/>
  <c r="B83" i="20"/>
  <c r="T19" i="9"/>
  <c r="B127" i="20"/>
  <c r="T20" i="9"/>
  <c r="T21" i="9"/>
  <c r="T22" i="9"/>
  <c r="B157" i="20"/>
  <c r="B155" i="20"/>
  <c r="B122" i="20"/>
  <c r="T18" i="9"/>
  <c r="B116" i="20"/>
  <c r="T11" i="9"/>
  <c r="B17" i="20" s="1"/>
  <c r="B371" i="20"/>
  <c r="N22" i="9"/>
  <c r="N20" i="9"/>
  <c r="O20" i="9" s="1"/>
  <c r="L20" i="9" s="1"/>
  <c r="N19" i="9"/>
  <c r="O19" i="9" s="1"/>
  <c r="L19" i="9" s="1"/>
  <c r="N18" i="9"/>
  <c r="O18" i="9" s="1"/>
  <c r="L18" i="9" s="1"/>
  <c r="N17" i="9"/>
  <c r="N16" i="9"/>
  <c r="O16" i="9" s="1"/>
  <c r="L16" i="9" s="1"/>
  <c r="N15" i="9"/>
  <c r="O15" i="9" s="1"/>
  <c r="L15" i="9" s="1"/>
  <c r="N14" i="9"/>
  <c r="O14" i="9" s="1"/>
  <c r="L14" i="9" s="1"/>
  <c r="N13" i="9"/>
  <c r="O13" i="9" s="1"/>
  <c r="L13" i="9" s="1"/>
  <c r="N12" i="9"/>
  <c r="O12" i="9" s="1"/>
  <c r="L12" i="9" s="1"/>
  <c r="N11" i="9"/>
  <c r="O11" i="9" s="1"/>
  <c r="L11" i="9" s="1"/>
  <c r="N21" i="9"/>
  <c r="B413" i="20"/>
  <c r="B411" i="20"/>
  <c r="B409" i="20"/>
  <c r="B407" i="20"/>
  <c r="B405" i="20"/>
  <c r="B403" i="20"/>
  <c r="B386" i="20"/>
  <c r="B379" i="20"/>
  <c r="B374" i="20"/>
  <c r="B373" i="20"/>
  <c r="B372" i="20"/>
  <c r="B370" i="20"/>
  <c r="B367" i="20"/>
  <c r="B366" i="20"/>
  <c r="B365" i="20"/>
  <c r="J10" i="5"/>
  <c r="B364" i="20" s="1"/>
  <c r="B351" i="20"/>
  <c r="B350" i="20"/>
  <c r="B346" i="20"/>
  <c r="J56" i="5"/>
  <c r="B314" i="20" s="1"/>
  <c r="B308" i="20"/>
  <c r="B304" i="20"/>
  <c r="B141" i="20"/>
  <c r="B136" i="20"/>
  <c r="B135" i="20"/>
  <c r="B133" i="20"/>
  <c r="B125" i="20"/>
  <c r="B124" i="20"/>
  <c r="B119" i="20"/>
  <c r="AM19" i="9"/>
  <c r="AL19" i="9"/>
  <c r="V20" i="9"/>
  <c r="B140" i="20"/>
  <c r="U20" i="9"/>
  <c r="B137" i="20"/>
  <c r="B138" i="20"/>
  <c r="AO20" i="9"/>
  <c r="AM18" i="9"/>
  <c r="AL18" i="9"/>
  <c r="V19" i="9"/>
  <c r="B129" i="20"/>
  <c r="U19" i="9"/>
  <c r="B126" i="20"/>
  <c r="AO19" i="9"/>
  <c r="AM17" i="9"/>
  <c r="AL17" i="9"/>
  <c r="V18" i="9"/>
  <c r="B118" i="20"/>
  <c r="U18" i="9"/>
  <c r="B115" i="20"/>
  <c r="B120" i="20"/>
  <c r="B114" i="20"/>
  <c r="B113" i="20"/>
  <c r="B111" i="20"/>
  <c r="B103" i="20"/>
  <c r="B102" i="20"/>
  <c r="B100" i="20"/>
  <c r="B92" i="20"/>
  <c r="B91" i="20"/>
  <c r="B89" i="20"/>
  <c r="B81" i="20"/>
  <c r="B80" i="20"/>
  <c r="B78" i="20"/>
  <c r="B70" i="20"/>
  <c r="B69" i="20"/>
  <c r="B67" i="20"/>
  <c r="B59" i="20"/>
  <c r="B58" i="20"/>
  <c r="B56" i="20"/>
  <c r="U22" i="9"/>
  <c r="B104" i="20"/>
  <c r="U21" i="9"/>
  <c r="B93" i="20"/>
  <c r="U17" i="9"/>
  <c r="B82" i="20"/>
  <c r="U16" i="9"/>
  <c r="B71" i="20"/>
  <c r="U15" i="9"/>
  <c r="B49" i="20" s="1"/>
  <c r="U14" i="9"/>
  <c r="B38" i="20"/>
  <c r="U13" i="9"/>
  <c r="B5" i="20" s="1"/>
  <c r="U12" i="9"/>
  <c r="B60" i="20" s="1"/>
  <c r="U11" i="9"/>
  <c r="B16" i="20" s="1"/>
  <c r="U10" i="9"/>
  <c r="B27" i="20" s="1"/>
  <c r="U9" i="9"/>
  <c r="U8" i="9"/>
  <c r="B148" i="20"/>
  <c r="V22" i="9"/>
  <c r="B107" i="20"/>
  <c r="V21" i="9"/>
  <c r="B96" i="20"/>
  <c r="V17" i="9"/>
  <c r="B85" i="20"/>
  <c r="V16" i="9"/>
  <c r="B74" i="20"/>
  <c r="V15" i="9"/>
  <c r="B52" i="20"/>
  <c r="V14" i="9"/>
  <c r="B41" i="20"/>
  <c r="V13" i="9"/>
  <c r="B8" i="20"/>
  <c r="V12" i="9"/>
  <c r="B63" i="20" s="1"/>
  <c r="V11" i="9"/>
  <c r="B19" i="20"/>
  <c r="V10" i="9"/>
  <c r="B30" i="20" s="1"/>
  <c r="V9" i="9"/>
  <c r="V8" i="9"/>
  <c r="B151" i="20"/>
  <c r="B48" i="20"/>
  <c r="B47" i="20"/>
  <c r="B45" i="20"/>
  <c r="B37" i="20"/>
  <c r="B36" i="20"/>
  <c r="B34" i="20"/>
  <c r="B26" i="20"/>
  <c r="B25" i="20"/>
  <c r="B23" i="20"/>
  <c r="B15" i="20"/>
  <c r="B14" i="20"/>
  <c r="B12" i="20"/>
  <c r="B4" i="20"/>
  <c r="B3" i="20"/>
  <c r="B1" i="20"/>
  <c r="B142" i="20"/>
  <c r="B109" i="20"/>
  <c r="B87" i="20"/>
  <c r="B76" i="20"/>
  <c r="B54" i="20"/>
  <c r="AO12" i="9"/>
  <c r="B32" i="20"/>
  <c r="AO8" i="9"/>
  <c r="B94" i="20"/>
  <c r="B50" i="20"/>
  <c r="B149" i="20"/>
  <c r="B10" i="20"/>
  <c r="B8" i="2"/>
  <c r="B29" i="13"/>
  <c r="B26" i="13"/>
  <c r="A71" i="4"/>
  <c r="A132" i="5"/>
  <c r="H25" i="9"/>
  <c r="A131" i="5"/>
  <c r="C25" i="5"/>
  <c r="A28" i="2"/>
  <c r="A27" i="2"/>
  <c r="A25" i="2"/>
  <c r="A24" i="2"/>
  <c r="A23" i="2"/>
  <c r="D21" i="2"/>
  <c r="A16" i="2"/>
  <c r="D14" i="2"/>
  <c r="C5" i="2"/>
  <c r="O43" i="9"/>
  <c r="N41" i="9"/>
  <c r="H23" i="9"/>
  <c r="AK32" i="9"/>
  <c r="AK33" i="9"/>
  <c r="AK34" i="9"/>
  <c r="AK35" i="9"/>
  <c r="AK36" i="9"/>
  <c r="AK37" i="9"/>
  <c r="AK38" i="9"/>
  <c r="AK39" i="9"/>
  <c r="AK40" i="9"/>
  <c r="AK31" i="9"/>
  <c r="E27" i="13" s="1"/>
  <c r="B27" i="13" s="1"/>
  <c r="I27" i="13" s="1"/>
  <c r="A55" i="13" s="1"/>
  <c r="AL10" i="9"/>
  <c r="AL11" i="9"/>
  <c r="AL12" i="9"/>
  <c r="AL13" i="9"/>
  <c r="AL14" i="9"/>
  <c r="AL15" i="9"/>
  <c r="AL16" i="9"/>
  <c r="AL20" i="9"/>
  <c r="AL21" i="9"/>
  <c r="AL9" i="9"/>
  <c r="N10" i="9"/>
  <c r="O10" i="9" s="1"/>
  <c r="L10" i="9" s="1"/>
  <c r="F46" i="10"/>
  <c r="G46" i="10" s="1"/>
  <c r="H46" i="10" s="1"/>
  <c r="F29" i="9"/>
  <c r="F30" i="9"/>
  <c r="F31" i="9"/>
  <c r="F32" i="9"/>
  <c r="F33" i="9"/>
  <c r="F34" i="9"/>
  <c r="F35" i="9"/>
  <c r="F36" i="9"/>
  <c r="F37" i="9"/>
  <c r="F38" i="9"/>
  <c r="F39" i="9"/>
  <c r="F40" i="9"/>
  <c r="E41" i="9"/>
  <c r="A4" i="9"/>
  <c r="C40" i="5"/>
  <c r="B166" i="18" s="1"/>
  <c r="J6" i="9"/>
  <c r="D28" i="11"/>
  <c r="E28" i="11"/>
  <c r="F28" i="11"/>
  <c r="G28" i="11"/>
  <c r="H28" i="11"/>
  <c r="I28" i="11"/>
  <c r="J28" i="11"/>
  <c r="K28" i="11"/>
  <c r="L28" i="11"/>
  <c r="M28" i="11"/>
  <c r="N28" i="11"/>
  <c r="O28" i="11"/>
  <c r="P28" i="11"/>
  <c r="Q28" i="11"/>
  <c r="D29" i="11"/>
  <c r="E29" i="11"/>
  <c r="F29" i="11"/>
  <c r="G29" i="11"/>
  <c r="H29" i="11"/>
  <c r="I29" i="11"/>
  <c r="J29" i="11"/>
  <c r="K29" i="11"/>
  <c r="L29" i="11"/>
  <c r="M29" i="11"/>
  <c r="N29" i="11"/>
  <c r="O29" i="11"/>
  <c r="P29" i="11"/>
  <c r="Q29" i="11"/>
  <c r="D30" i="11"/>
  <c r="E30" i="11"/>
  <c r="D31" i="11"/>
  <c r="E31" i="11"/>
  <c r="F31" i="11"/>
  <c r="G31" i="11"/>
  <c r="H31" i="11"/>
  <c r="I31" i="11"/>
  <c r="J31" i="11"/>
  <c r="K31" i="11"/>
  <c r="L31" i="11"/>
  <c r="M31" i="11"/>
  <c r="N31" i="11"/>
  <c r="O31" i="11"/>
  <c r="P31" i="11"/>
  <c r="Q31" i="11"/>
  <c r="D32" i="11"/>
  <c r="E32" i="11"/>
  <c r="F32" i="11"/>
  <c r="G32" i="11"/>
  <c r="H32" i="11"/>
  <c r="I32" i="11"/>
  <c r="J32" i="11"/>
  <c r="K32" i="11"/>
  <c r="L32" i="11"/>
  <c r="M32" i="11"/>
  <c r="N32" i="11"/>
  <c r="O32" i="11"/>
  <c r="P32" i="11"/>
  <c r="Q32" i="11"/>
  <c r="D33" i="11"/>
  <c r="E33" i="11"/>
  <c r="F33" i="11"/>
  <c r="G33" i="11"/>
  <c r="H33" i="11"/>
  <c r="I33" i="11"/>
  <c r="J33" i="11"/>
  <c r="K33" i="11"/>
  <c r="L33" i="11"/>
  <c r="M33" i="11"/>
  <c r="N33" i="11"/>
  <c r="O33" i="11"/>
  <c r="P33" i="11"/>
  <c r="Q33" i="11"/>
  <c r="D26" i="11"/>
  <c r="E26" i="11"/>
  <c r="F26" i="11"/>
  <c r="G26" i="11"/>
  <c r="H26" i="11"/>
  <c r="I26" i="11"/>
  <c r="J26" i="11"/>
  <c r="K26" i="11"/>
  <c r="L26" i="11"/>
  <c r="M26" i="11"/>
  <c r="N26" i="11"/>
  <c r="O26" i="11"/>
  <c r="P26" i="11"/>
  <c r="Q26" i="11"/>
  <c r="AM21" i="9"/>
  <c r="AM10" i="9"/>
  <c r="AM11" i="9"/>
  <c r="AM12" i="9"/>
  <c r="AM13" i="9"/>
  <c r="AM14" i="9"/>
  <c r="AM15" i="9"/>
  <c r="AM16" i="9"/>
  <c r="AM20" i="9"/>
  <c r="AM9" i="9"/>
  <c r="AL32" i="9"/>
  <c r="AL33" i="9"/>
  <c r="AL34" i="9"/>
  <c r="AL35" i="9"/>
  <c r="AL36" i="9"/>
  <c r="AL37" i="9"/>
  <c r="AL38" i="9"/>
  <c r="AL39" i="9"/>
  <c r="AL40" i="9"/>
  <c r="AL31" i="9"/>
  <c r="A27" i="9"/>
  <c r="A29" i="9" s="1"/>
  <c r="D9" i="11"/>
  <c r="A12" i="11" s="1"/>
  <c r="D41" i="9"/>
  <c r="A130" i="5"/>
  <c r="F38" i="10"/>
  <c r="G38" i="10" s="1"/>
  <c r="H38" i="10" s="1"/>
  <c r="I38" i="10" s="1"/>
  <c r="J38" i="10" s="1"/>
  <c r="K38" i="10" s="1"/>
  <c r="L38" i="10" s="1"/>
  <c r="M38" i="10" s="1"/>
  <c r="N38" i="10" s="1"/>
  <c r="O38" i="10" s="1"/>
  <c r="P38" i="10" s="1"/>
  <c r="Q38" i="10" s="1"/>
  <c r="R38" i="10" s="1"/>
  <c r="S38" i="10" s="1"/>
  <c r="P6" i="9"/>
  <c r="B4" i="13"/>
  <c r="I4" i="10"/>
  <c r="H8" i="11" s="1"/>
  <c r="G5" i="9"/>
  <c r="A3" i="5"/>
  <c r="C106" i="5"/>
  <c r="C115" i="5"/>
  <c r="B410" i="20" s="1"/>
  <c r="F14" i="10"/>
  <c r="G14" i="10" s="1"/>
  <c r="H14" i="10" s="1"/>
  <c r="I14" i="10" s="1"/>
  <c r="J14" i="10" s="1"/>
  <c r="K14" i="10" s="1"/>
  <c r="L14" i="10" s="1"/>
  <c r="M14" i="10" s="1"/>
  <c r="N14" i="10" s="1"/>
  <c r="O14" i="10" s="1"/>
  <c r="P14" i="10" s="1"/>
  <c r="Q14" i="10" s="1"/>
  <c r="R14" i="10" s="1"/>
  <c r="S14" i="10" s="1"/>
  <c r="B18" i="13"/>
  <c r="H29" i="4"/>
  <c r="E57" i="10"/>
  <c r="F57" i="10" s="1"/>
  <c r="G57" i="10" s="1"/>
  <c r="H57" i="10" s="1"/>
  <c r="I57" i="10" s="1"/>
  <c r="J57" i="10" s="1"/>
  <c r="K57" i="10" s="1"/>
  <c r="L57" i="10" s="1"/>
  <c r="M57" i="10" s="1"/>
  <c r="N57" i="10" s="1"/>
  <c r="O57" i="10" s="1"/>
  <c r="P57" i="10" s="1"/>
  <c r="Q57" i="10" s="1"/>
  <c r="R57" i="10" s="1"/>
  <c r="S57" i="10" s="1"/>
  <c r="H20" i="4"/>
  <c r="H21" i="4"/>
  <c r="H22" i="4"/>
  <c r="H23" i="4"/>
  <c r="H24" i="4"/>
  <c r="H25" i="4"/>
  <c r="H26" i="4"/>
  <c r="H27" i="4"/>
  <c r="H28" i="4"/>
  <c r="H30" i="4"/>
  <c r="H31" i="4"/>
  <c r="H32" i="4"/>
  <c r="H33" i="4"/>
  <c r="H34" i="4"/>
  <c r="H35" i="4"/>
  <c r="H36" i="4"/>
  <c r="H37" i="4"/>
  <c r="H38" i="4"/>
  <c r="H39" i="4"/>
  <c r="H40" i="4"/>
  <c r="H41" i="4"/>
  <c r="H42" i="4"/>
  <c r="H43" i="4"/>
  <c r="H44" i="4"/>
  <c r="H45" i="4"/>
  <c r="H46" i="4"/>
  <c r="H47" i="4"/>
  <c r="H48" i="4"/>
  <c r="H49" i="4"/>
  <c r="H50" i="4"/>
  <c r="H51" i="4"/>
  <c r="H52" i="4"/>
  <c r="H53" i="4"/>
  <c r="H54" i="4"/>
  <c r="H55" i="4"/>
  <c r="H56" i="4"/>
  <c r="H57" i="4"/>
  <c r="H58" i="4"/>
  <c r="H59" i="4"/>
  <c r="H19" i="4"/>
  <c r="D60" i="4"/>
  <c r="B358" i="20" s="1"/>
  <c r="D47" i="10"/>
  <c r="E22" i="13"/>
  <c r="A11" i="11"/>
  <c r="F15" i="10"/>
  <c r="G15" i="10"/>
  <c r="H15" i="10" s="1"/>
  <c r="I15" i="10" s="1"/>
  <c r="J15" i="10" s="1"/>
  <c r="K15" i="10" s="1"/>
  <c r="L15" i="10" s="1"/>
  <c r="M15" i="10" s="1"/>
  <c r="N15" i="10" s="1"/>
  <c r="O15" i="10" s="1"/>
  <c r="P15" i="10" s="1"/>
  <c r="Q15" i="10" s="1"/>
  <c r="R15" i="10" s="1"/>
  <c r="S15" i="10" s="1"/>
  <c r="D38" i="11"/>
  <c r="E38" i="11"/>
  <c r="F38" i="11"/>
  <c r="G38" i="11"/>
  <c r="H38" i="11"/>
  <c r="I38" i="11"/>
  <c r="J38" i="11"/>
  <c r="K38" i="11"/>
  <c r="L38" i="11"/>
  <c r="M38" i="11"/>
  <c r="N38" i="11"/>
  <c r="O38" i="11"/>
  <c r="P38" i="11"/>
  <c r="Q38" i="11"/>
  <c r="D39" i="11"/>
  <c r="E39" i="11"/>
  <c r="F39" i="11"/>
  <c r="G39" i="11"/>
  <c r="H39" i="11"/>
  <c r="I39" i="11"/>
  <c r="J39" i="11"/>
  <c r="K39" i="11"/>
  <c r="L39" i="11"/>
  <c r="M39" i="11"/>
  <c r="N39" i="11"/>
  <c r="O39" i="11"/>
  <c r="P39" i="11"/>
  <c r="Q39" i="11"/>
  <c r="D40" i="11"/>
  <c r="E40" i="11"/>
  <c r="F40" i="11"/>
  <c r="G40" i="11"/>
  <c r="H40" i="11"/>
  <c r="I40" i="11"/>
  <c r="J40" i="11"/>
  <c r="K40" i="11"/>
  <c r="L40" i="11"/>
  <c r="M40" i="11"/>
  <c r="N40" i="11"/>
  <c r="O40" i="11"/>
  <c r="P40" i="11"/>
  <c r="Q40" i="11"/>
  <c r="D41" i="11"/>
  <c r="E41" i="11"/>
  <c r="F41" i="11"/>
  <c r="G41" i="11"/>
  <c r="H41" i="11"/>
  <c r="I41" i="11"/>
  <c r="J41" i="11"/>
  <c r="K41" i="11"/>
  <c r="L41" i="11"/>
  <c r="M41" i="11"/>
  <c r="N41" i="11"/>
  <c r="O41" i="11"/>
  <c r="P41" i="11"/>
  <c r="Q41" i="11"/>
  <c r="D42" i="11"/>
  <c r="E42" i="11"/>
  <c r="F42" i="11"/>
  <c r="G42" i="11"/>
  <c r="H42" i="11"/>
  <c r="I42" i="11"/>
  <c r="J42" i="11"/>
  <c r="K42" i="11"/>
  <c r="L42" i="11"/>
  <c r="M42" i="11"/>
  <c r="N42" i="11"/>
  <c r="O42" i="11"/>
  <c r="P42" i="11"/>
  <c r="Q42" i="11"/>
  <c r="D17" i="11"/>
  <c r="E17" i="11"/>
  <c r="F17" i="11"/>
  <c r="G17" i="11"/>
  <c r="H17" i="11"/>
  <c r="I17" i="11"/>
  <c r="J17" i="11"/>
  <c r="K17" i="11"/>
  <c r="L17" i="11"/>
  <c r="M17" i="11"/>
  <c r="N17" i="11"/>
  <c r="O17" i="11"/>
  <c r="P17" i="11"/>
  <c r="Q17" i="11"/>
  <c r="C18" i="11"/>
  <c r="C43" i="11"/>
  <c r="D37" i="11"/>
  <c r="E37" i="11"/>
  <c r="F37" i="11"/>
  <c r="G37" i="11"/>
  <c r="H37" i="11"/>
  <c r="I37" i="11"/>
  <c r="J37" i="11"/>
  <c r="K37" i="11"/>
  <c r="L37" i="11"/>
  <c r="M37" i="11"/>
  <c r="N37" i="11"/>
  <c r="O37" i="11"/>
  <c r="P37" i="11"/>
  <c r="Q37" i="11"/>
  <c r="D36" i="11"/>
  <c r="E36" i="11"/>
  <c r="F36" i="11"/>
  <c r="G36" i="11"/>
  <c r="H36" i="11"/>
  <c r="I36" i="11"/>
  <c r="J36" i="11"/>
  <c r="K36" i="11"/>
  <c r="L36" i="11"/>
  <c r="M36" i="11"/>
  <c r="N36" i="11"/>
  <c r="O36" i="11"/>
  <c r="P36" i="11"/>
  <c r="Q36" i="11"/>
  <c r="D35" i="11"/>
  <c r="E35" i="11"/>
  <c r="F35" i="11"/>
  <c r="G35" i="11"/>
  <c r="H35" i="11"/>
  <c r="I35" i="11"/>
  <c r="J35" i="11"/>
  <c r="K35" i="11"/>
  <c r="L35" i="11"/>
  <c r="M35" i="11"/>
  <c r="N35" i="11"/>
  <c r="O35" i="11"/>
  <c r="P35" i="11"/>
  <c r="Q35" i="11"/>
  <c r="D34" i="11"/>
  <c r="E34" i="11"/>
  <c r="F34" i="11"/>
  <c r="G34" i="11"/>
  <c r="H34" i="11"/>
  <c r="I34" i="11"/>
  <c r="J34" i="11"/>
  <c r="K34" i="11"/>
  <c r="L34" i="11"/>
  <c r="M34" i="11"/>
  <c r="N34" i="11"/>
  <c r="O34" i="11"/>
  <c r="P34" i="11"/>
  <c r="Q34" i="11"/>
  <c r="D27" i="11"/>
  <c r="E27" i="11"/>
  <c r="F27" i="11"/>
  <c r="G27" i="11"/>
  <c r="H27" i="11"/>
  <c r="I27" i="11"/>
  <c r="J27" i="11"/>
  <c r="K27" i="11"/>
  <c r="L27" i="11"/>
  <c r="M27" i="11"/>
  <c r="N27" i="11"/>
  <c r="O27" i="11"/>
  <c r="P27" i="11"/>
  <c r="Q27" i="11"/>
  <c r="D25" i="11"/>
  <c r="E25" i="11"/>
  <c r="F25" i="11"/>
  <c r="G25" i="11"/>
  <c r="H25" i="11"/>
  <c r="I25" i="11"/>
  <c r="J25" i="11"/>
  <c r="K25" i="11"/>
  <c r="L25" i="11"/>
  <c r="M25" i="11"/>
  <c r="N25" i="11"/>
  <c r="O25" i="11"/>
  <c r="P25" i="11"/>
  <c r="Q25" i="11"/>
  <c r="D24" i="11"/>
  <c r="E24" i="11"/>
  <c r="F24" i="11"/>
  <c r="G24" i="11"/>
  <c r="H24" i="11"/>
  <c r="I24" i="11"/>
  <c r="J24" i="11"/>
  <c r="K24" i="11"/>
  <c r="L24" i="11"/>
  <c r="M24" i="11"/>
  <c r="N24" i="11"/>
  <c r="O24" i="11"/>
  <c r="P24" i="11"/>
  <c r="Q24" i="11"/>
  <c r="D23" i="11"/>
  <c r="E23" i="11"/>
  <c r="F23" i="11"/>
  <c r="G23" i="11"/>
  <c r="H23" i="11"/>
  <c r="I23" i="11"/>
  <c r="J23" i="11"/>
  <c r="K23" i="11"/>
  <c r="L23" i="11"/>
  <c r="M23" i="11"/>
  <c r="N23" i="11"/>
  <c r="O23" i="11"/>
  <c r="P23" i="11"/>
  <c r="Q23" i="11"/>
  <c r="D22" i="11"/>
  <c r="E22" i="11"/>
  <c r="F22" i="11"/>
  <c r="G22" i="11"/>
  <c r="H22" i="11"/>
  <c r="I22" i="11"/>
  <c r="J22" i="11"/>
  <c r="K22" i="11"/>
  <c r="L22" i="11"/>
  <c r="M22" i="11"/>
  <c r="N22" i="11"/>
  <c r="O22" i="11"/>
  <c r="P22" i="11"/>
  <c r="Q22" i="11"/>
  <c r="D21" i="11"/>
  <c r="E21" i="11"/>
  <c r="F21" i="11"/>
  <c r="G21" i="11"/>
  <c r="H21" i="11"/>
  <c r="I21" i="11"/>
  <c r="J21" i="11"/>
  <c r="K21" i="11"/>
  <c r="L21" i="11"/>
  <c r="M21" i="11"/>
  <c r="N21" i="11"/>
  <c r="O21" i="11"/>
  <c r="P21" i="11"/>
  <c r="Q21" i="11"/>
  <c r="D20" i="11"/>
  <c r="E20" i="11"/>
  <c r="R16" i="11"/>
  <c r="D16" i="11"/>
  <c r="E16" i="11"/>
  <c r="R15" i="11"/>
  <c r="D15" i="11"/>
  <c r="E15" i="11" s="1"/>
  <c r="R17" i="11"/>
  <c r="B20" i="13"/>
  <c r="E20" i="13" s="1"/>
  <c r="J22" i="4"/>
  <c r="O17" i="9"/>
  <c r="L17" i="9" s="1"/>
  <c r="O21" i="9"/>
  <c r="L21" i="9" s="1"/>
  <c r="O22" i="9"/>
  <c r="L22" i="9"/>
  <c r="D26" i="9"/>
  <c r="J23" i="9"/>
  <c r="K22" i="9"/>
  <c r="B108" i="20"/>
  <c r="B97" i="20"/>
  <c r="K17" i="9"/>
  <c r="B86" i="20"/>
  <c r="K16" i="9"/>
  <c r="B75" i="20"/>
  <c r="K15" i="9"/>
  <c r="B53" i="20" s="1"/>
  <c r="K14" i="9"/>
  <c r="K13" i="9"/>
  <c r="AJ13" i="9" s="1"/>
  <c r="K12" i="9"/>
  <c r="B64" i="20"/>
  <c r="K11" i="9"/>
  <c r="B20" i="20"/>
  <c r="K10" i="9"/>
  <c r="AJ10" i="9" s="1"/>
  <c r="K9" i="9"/>
  <c r="B152" i="20"/>
  <c r="K8" i="9"/>
  <c r="S33" i="10"/>
  <c r="R33" i="10"/>
  <c r="Q33" i="10"/>
  <c r="P33" i="10"/>
  <c r="O33" i="10"/>
  <c r="N33" i="10"/>
  <c r="M33" i="10"/>
  <c r="L33" i="10"/>
  <c r="K33" i="10"/>
  <c r="J33" i="10"/>
  <c r="I33" i="10"/>
  <c r="H33" i="10"/>
  <c r="G33" i="10"/>
  <c r="F33" i="10"/>
  <c r="B17" i="13"/>
  <c r="B16" i="13"/>
  <c r="B15" i="13"/>
  <c r="E15" i="13" s="1"/>
  <c r="B21" i="13"/>
  <c r="T14" i="10"/>
  <c r="T13" i="10"/>
  <c r="C51" i="5"/>
  <c r="D61" i="4"/>
  <c r="B9" i="18" s="1"/>
  <c r="T47" i="10"/>
  <c r="T43" i="10"/>
  <c r="T40" i="10"/>
  <c r="T39" i="10"/>
  <c r="T37" i="10"/>
  <c r="B19" i="13"/>
  <c r="F11" i="10"/>
  <c r="G11" i="10" s="1"/>
  <c r="H11" i="10" s="1"/>
  <c r="I11" i="10" s="1"/>
  <c r="J11" i="10" s="1"/>
  <c r="K11" i="10" s="1"/>
  <c r="L11" i="10" s="1"/>
  <c r="M11" i="10" s="1"/>
  <c r="N11" i="10" s="1"/>
  <c r="O11" i="10" s="1"/>
  <c r="P11" i="10" s="1"/>
  <c r="Q11" i="10" s="1"/>
  <c r="R11" i="10" s="1"/>
  <c r="S11" i="10" s="1"/>
  <c r="F12" i="10"/>
  <c r="G12" i="10" s="1"/>
  <c r="H12" i="10" s="1"/>
  <c r="I12" i="10" s="1"/>
  <c r="J12" i="10" s="1"/>
  <c r="K12" i="10" s="1"/>
  <c r="L12" i="10" s="1"/>
  <c r="M12" i="10" s="1"/>
  <c r="N12" i="10" s="1"/>
  <c r="O12" i="10" s="1"/>
  <c r="P12" i="10" s="1"/>
  <c r="Q12" i="10" s="1"/>
  <c r="R12" i="10" s="1"/>
  <c r="S12" i="10" s="1"/>
  <c r="F21" i="10"/>
  <c r="G21" i="10" s="1"/>
  <c r="H21" i="10" s="1"/>
  <c r="I21" i="10" s="1"/>
  <c r="J21" i="10" s="1"/>
  <c r="K21" i="10" s="1"/>
  <c r="L21" i="10" s="1"/>
  <c r="M21" i="10" s="1"/>
  <c r="N21" i="10" s="1"/>
  <c r="O21" i="10" s="1"/>
  <c r="P21" i="10" s="1"/>
  <c r="Q21" i="10" s="1"/>
  <c r="R21" i="10" s="1"/>
  <c r="S21" i="10" s="1"/>
  <c r="F22" i="10"/>
  <c r="G22" i="10" s="1"/>
  <c r="H22" i="10" s="1"/>
  <c r="I22" i="10" s="1"/>
  <c r="J22" i="10" s="1"/>
  <c r="K22" i="10" s="1"/>
  <c r="L22" i="10" s="1"/>
  <c r="M22" i="10" s="1"/>
  <c r="N22" i="10" s="1"/>
  <c r="O22" i="10" s="1"/>
  <c r="P22" i="10" s="1"/>
  <c r="Q22" i="10" s="1"/>
  <c r="R22" i="10" s="1"/>
  <c r="S22" i="10" s="1"/>
  <c r="F23" i="10"/>
  <c r="G23" i="10" s="1"/>
  <c r="H23" i="10" s="1"/>
  <c r="I23" i="10" s="1"/>
  <c r="J23" i="10" s="1"/>
  <c r="K23" i="10" s="1"/>
  <c r="L23" i="10" s="1"/>
  <c r="M23" i="10" s="1"/>
  <c r="N23" i="10" s="1"/>
  <c r="O23" i="10" s="1"/>
  <c r="P23" i="10" s="1"/>
  <c r="Q23" i="10" s="1"/>
  <c r="R23" i="10" s="1"/>
  <c r="S23" i="10" s="1"/>
  <c r="F24" i="10"/>
  <c r="G24" i="10" s="1"/>
  <c r="H24" i="10" s="1"/>
  <c r="I24" i="10" s="1"/>
  <c r="J24" i="10" s="1"/>
  <c r="K24" i="10" s="1"/>
  <c r="L24" i="10" s="1"/>
  <c r="M24" i="10" s="1"/>
  <c r="N24" i="10" s="1"/>
  <c r="O24" i="10" s="1"/>
  <c r="P24" i="10" s="1"/>
  <c r="Q24" i="10" s="1"/>
  <c r="R24" i="10" s="1"/>
  <c r="S24" i="10" s="1"/>
  <c r="F25" i="10"/>
  <c r="G25" i="10" s="1"/>
  <c r="H25" i="10" s="1"/>
  <c r="I25" i="10" s="1"/>
  <c r="J25" i="10" s="1"/>
  <c r="K25" i="10" s="1"/>
  <c r="L25" i="10" s="1"/>
  <c r="M25" i="10" s="1"/>
  <c r="N25" i="10" s="1"/>
  <c r="O25" i="10" s="1"/>
  <c r="P25" i="10" s="1"/>
  <c r="Q25" i="10" s="1"/>
  <c r="R25" i="10" s="1"/>
  <c r="S25" i="10" s="1"/>
  <c r="F26" i="10"/>
  <c r="G26" i="10" s="1"/>
  <c r="H26" i="10" s="1"/>
  <c r="I26" i="10" s="1"/>
  <c r="J26" i="10" s="1"/>
  <c r="K26" i="10" s="1"/>
  <c r="L26" i="10" s="1"/>
  <c r="M26" i="10" s="1"/>
  <c r="N26" i="10" s="1"/>
  <c r="O26" i="10" s="1"/>
  <c r="P26" i="10" s="1"/>
  <c r="Q26" i="10" s="1"/>
  <c r="R26" i="10" s="1"/>
  <c r="S26" i="10" s="1"/>
  <c r="F27" i="10"/>
  <c r="G27" i="10"/>
  <c r="H27" i="10" s="1"/>
  <c r="I27" i="10" s="1"/>
  <c r="J27" i="10" s="1"/>
  <c r="K27" i="10" s="1"/>
  <c r="L27" i="10" s="1"/>
  <c r="M27" i="10" s="1"/>
  <c r="N27" i="10" s="1"/>
  <c r="O27" i="10" s="1"/>
  <c r="P27" i="10" s="1"/>
  <c r="Q27" i="10" s="1"/>
  <c r="R27" i="10" s="1"/>
  <c r="S27" i="10" s="1"/>
  <c r="F28" i="10"/>
  <c r="G28" i="10" s="1"/>
  <c r="H28" i="10" s="1"/>
  <c r="I28" i="10" s="1"/>
  <c r="J28" i="10" s="1"/>
  <c r="K28" i="10" s="1"/>
  <c r="L28" i="10" s="1"/>
  <c r="M28" i="10" s="1"/>
  <c r="N28" i="10" s="1"/>
  <c r="O28" i="10" s="1"/>
  <c r="P28" i="10" s="1"/>
  <c r="Q28" i="10" s="1"/>
  <c r="R28" i="10" s="1"/>
  <c r="S28" i="10" s="1"/>
  <c r="F29" i="10"/>
  <c r="G29" i="10"/>
  <c r="H29" i="10" s="1"/>
  <c r="I29" i="10" s="1"/>
  <c r="J29" i="10" s="1"/>
  <c r="K29" i="10" s="1"/>
  <c r="L29" i="10" s="1"/>
  <c r="M29" i="10" s="1"/>
  <c r="N29" i="10" s="1"/>
  <c r="O29" i="10" s="1"/>
  <c r="P29" i="10" s="1"/>
  <c r="Q29" i="10" s="1"/>
  <c r="R29" i="10" s="1"/>
  <c r="S29" i="10" s="1"/>
  <c r="F30" i="10"/>
  <c r="G30" i="10"/>
  <c r="H30" i="10" s="1"/>
  <c r="I30" i="10" s="1"/>
  <c r="J30" i="10" s="1"/>
  <c r="K30" i="10" s="1"/>
  <c r="L30" i="10" s="1"/>
  <c r="M30" i="10" s="1"/>
  <c r="N30" i="10" s="1"/>
  <c r="O30" i="10" s="1"/>
  <c r="P30" i="10" s="1"/>
  <c r="Q30" i="10" s="1"/>
  <c r="R30" i="10" s="1"/>
  <c r="S30" i="10" s="1"/>
  <c r="F31" i="10"/>
  <c r="G31" i="10" s="1"/>
  <c r="H31" i="10" s="1"/>
  <c r="I31" i="10" s="1"/>
  <c r="J31" i="10" s="1"/>
  <c r="K31" i="10" s="1"/>
  <c r="L31" i="10" s="1"/>
  <c r="M31" i="10" s="1"/>
  <c r="N31" i="10" s="1"/>
  <c r="O31" i="10" s="1"/>
  <c r="P31" i="10" s="1"/>
  <c r="Q31" i="10" s="1"/>
  <c r="R31" i="10" s="1"/>
  <c r="S31" i="10" s="1"/>
  <c r="F32" i="10"/>
  <c r="G32" i="10" s="1"/>
  <c r="H32" i="10" s="1"/>
  <c r="I32" i="10" s="1"/>
  <c r="J32" i="10" s="1"/>
  <c r="K32" i="10" s="1"/>
  <c r="L32" i="10" s="1"/>
  <c r="M32" i="10" s="1"/>
  <c r="N32" i="10" s="1"/>
  <c r="O32" i="10" s="1"/>
  <c r="P32" i="10" s="1"/>
  <c r="Q32" i="10" s="1"/>
  <c r="R32" i="10" s="1"/>
  <c r="S32" i="10" s="1"/>
  <c r="F34" i="10"/>
  <c r="G34" i="10" s="1"/>
  <c r="H34" i="10" s="1"/>
  <c r="I34" i="10" s="1"/>
  <c r="J34" i="10" s="1"/>
  <c r="K34" i="10" s="1"/>
  <c r="L34" i="10" s="1"/>
  <c r="M34" i="10" s="1"/>
  <c r="N34" i="10" s="1"/>
  <c r="O34" i="10" s="1"/>
  <c r="P34" i="10" s="1"/>
  <c r="Q34" i="10" s="1"/>
  <c r="R34" i="10" s="1"/>
  <c r="S34" i="10" s="1"/>
  <c r="F35" i="10"/>
  <c r="G35" i="10" s="1"/>
  <c r="H35" i="10" s="1"/>
  <c r="I35" i="10" s="1"/>
  <c r="J35" i="10" s="1"/>
  <c r="K35" i="10" s="1"/>
  <c r="L35" i="10" s="1"/>
  <c r="M35" i="10" s="1"/>
  <c r="N35" i="10" s="1"/>
  <c r="O35" i="10" s="1"/>
  <c r="P35" i="10" s="1"/>
  <c r="Q35" i="10" s="1"/>
  <c r="R35" i="10" s="1"/>
  <c r="S35" i="10" s="1"/>
  <c r="F36" i="10"/>
  <c r="G36" i="10"/>
  <c r="H36" i="10" s="1"/>
  <c r="I36" i="10" s="1"/>
  <c r="J36" i="10" s="1"/>
  <c r="K36" i="10" s="1"/>
  <c r="L36" i="10" s="1"/>
  <c r="M36" i="10" s="1"/>
  <c r="N36" i="10" s="1"/>
  <c r="O36" i="10" s="1"/>
  <c r="P36" i="10" s="1"/>
  <c r="Q36" i="10" s="1"/>
  <c r="R36" i="10" s="1"/>
  <c r="S36" i="10" s="1"/>
  <c r="F37" i="10"/>
  <c r="G37" i="10" s="1"/>
  <c r="H37" i="10" s="1"/>
  <c r="I37" i="10" s="1"/>
  <c r="J37" i="10" s="1"/>
  <c r="K37" i="10" s="1"/>
  <c r="L37" i="10" s="1"/>
  <c r="M37" i="10" s="1"/>
  <c r="N37" i="10" s="1"/>
  <c r="O37" i="10" s="1"/>
  <c r="P37" i="10" s="1"/>
  <c r="Q37" i="10" s="1"/>
  <c r="R37" i="10" s="1"/>
  <c r="S37" i="10" s="1"/>
  <c r="F39" i="10"/>
  <c r="G39" i="10" s="1"/>
  <c r="H39" i="10" s="1"/>
  <c r="I39" i="10" s="1"/>
  <c r="J39" i="10" s="1"/>
  <c r="K39" i="10" s="1"/>
  <c r="L39" i="10" s="1"/>
  <c r="M39" i="10" s="1"/>
  <c r="N39" i="10" s="1"/>
  <c r="O39" i="10" s="1"/>
  <c r="P39" i="10" s="1"/>
  <c r="Q39" i="10" s="1"/>
  <c r="R39" i="10" s="1"/>
  <c r="S39" i="10" s="1"/>
  <c r="F40" i="10"/>
  <c r="G40" i="10"/>
  <c r="H40" i="10" s="1"/>
  <c r="I40" i="10" s="1"/>
  <c r="J40" i="10" s="1"/>
  <c r="K40" i="10" s="1"/>
  <c r="L40" i="10" s="1"/>
  <c r="M40" i="10" s="1"/>
  <c r="N40" i="10" s="1"/>
  <c r="O40" i="10" s="1"/>
  <c r="P40" i="10" s="1"/>
  <c r="Q40" i="10" s="1"/>
  <c r="R40" i="10" s="1"/>
  <c r="S40" i="10" s="1"/>
  <c r="F42" i="10"/>
  <c r="G42" i="10"/>
  <c r="H42" i="10" s="1"/>
  <c r="I42" i="10" s="1"/>
  <c r="J42" i="10" s="1"/>
  <c r="K42" i="10" s="1"/>
  <c r="L42" i="10" s="1"/>
  <c r="M42" i="10" s="1"/>
  <c r="N42" i="10" s="1"/>
  <c r="O42" i="10" s="1"/>
  <c r="P42" i="10" s="1"/>
  <c r="Q42" i="10" s="1"/>
  <c r="R42" i="10" s="1"/>
  <c r="S42" i="10" s="1"/>
  <c r="F43" i="10"/>
  <c r="G43" i="10" s="1"/>
  <c r="H43" i="10" s="1"/>
  <c r="I43" i="10" s="1"/>
  <c r="J43" i="10" s="1"/>
  <c r="K43" i="10" s="1"/>
  <c r="L43" i="10" s="1"/>
  <c r="M43" i="10" s="1"/>
  <c r="N43" i="10" s="1"/>
  <c r="O43" i="10" s="1"/>
  <c r="P43" i="10" s="1"/>
  <c r="Q43" i="10" s="1"/>
  <c r="R43" i="10" s="1"/>
  <c r="S43" i="10" s="1"/>
  <c r="C12" i="5"/>
  <c r="C67" i="5"/>
  <c r="C79" i="5"/>
  <c r="J70" i="5" s="1"/>
  <c r="B315" i="20" s="1"/>
  <c r="C92" i="5"/>
  <c r="C100" i="5"/>
  <c r="J24" i="4"/>
  <c r="J26" i="4"/>
  <c r="J28" i="4"/>
  <c r="J30" i="4"/>
  <c r="J38" i="4"/>
  <c r="J40" i="4"/>
  <c r="R41" i="4" s="1"/>
  <c r="B300" i="20" s="1"/>
  <c r="J42" i="4"/>
  <c r="J44" i="4"/>
  <c r="R42" i="4" s="1"/>
  <c r="B301" i="20" s="1"/>
  <c r="J46" i="4"/>
  <c r="J48" i="4"/>
  <c r="J50" i="4"/>
  <c r="R44" i="4" s="1"/>
  <c r="B303" i="20" s="1"/>
  <c r="J52" i="4"/>
  <c r="H62" i="4"/>
  <c r="B11" i="18" s="1"/>
  <c r="H61" i="4"/>
  <c r="B12" i="18" s="1"/>
  <c r="B7" i="13"/>
  <c r="E44" i="10"/>
  <c r="T41" i="10"/>
  <c r="L29" i="9"/>
  <c r="D23" i="9"/>
  <c r="AL42" i="9" s="1"/>
  <c r="N8" i="9"/>
  <c r="O8" i="9"/>
  <c r="L8" i="9"/>
  <c r="B105" i="20"/>
  <c r="B401" i="20"/>
  <c r="D18" i="11"/>
  <c r="D44" i="11" s="1"/>
  <c r="B65" i="20"/>
  <c r="D8" i="11"/>
  <c r="R43" i="11" s="1"/>
  <c r="B344" i="20" s="1"/>
  <c r="B98" i="20"/>
  <c r="AO21" i="9"/>
  <c r="C44" i="11"/>
  <c r="AO14" i="9"/>
  <c r="B43" i="20"/>
  <c r="D43" i="11"/>
  <c r="F30" i="11"/>
  <c r="G30" i="11"/>
  <c r="H30" i="11"/>
  <c r="AO16" i="9"/>
  <c r="B356" i="20"/>
  <c r="B131" i="20"/>
  <c r="AO15" i="9"/>
  <c r="AO18" i="9"/>
  <c r="F16" i="11"/>
  <c r="G16" i="11"/>
  <c r="G53" i="10"/>
  <c r="B333" i="20"/>
  <c r="B453" i="20"/>
  <c r="H16" i="11"/>
  <c r="I16" i="11"/>
  <c r="J16" i="11"/>
  <c r="H53" i="10"/>
  <c r="I53" i="10"/>
  <c r="J53" i="10"/>
  <c r="K53" i="10"/>
  <c r="L53" i="10"/>
  <c r="M53" i="10"/>
  <c r="N53" i="10"/>
  <c r="O53" i="10"/>
  <c r="P53" i="10"/>
  <c r="Q53" i="10"/>
  <c r="R53" i="10"/>
  <c r="S53" i="10"/>
  <c r="I30" i="11"/>
  <c r="J30" i="11"/>
  <c r="K30" i="11"/>
  <c r="L30" i="11"/>
  <c r="M30" i="11"/>
  <c r="N30" i="11"/>
  <c r="O30" i="11"/>
  <c r="P30" i="11"/>
  <c r="Q30" i="11"/>
  <c r="K16" i="11"/>
  <c r="F20" i="11"/>
  <c r="E43" i="11"/>
  <c r="AO9" i="9"/>
  <c r="B153" i="20"/>
  <c r="AO11" i="9"/>
  <c r="B21" i="20"/>
  <c r="F41" i="9"/>
  <c r="AO17" i="9"/>
  <c r="L16" i="11"/>
  <c r="G20" i="11"/>
  <c r="F43" i="11"/>
  <c r="G43" i="11"/>
  <c r="H20" i="11"/>
  <c r="M16" i="11"/>
  <c r="I20" i="11"/>
  <c r="H43" i="11"/>
  <c r="N16" i="11"/>
  <c r="J20" i="11"/>
  <c r="I43" i="11"/>
  <c r="O16" i="11"/>
  <c r="P16" i="11"/>
  <c r="K20" i="11"/>
  <c r="J43" i="11"/>
  <c r="Q16" i="11"/>
  <c r="L20" i="11"/>
  <c r="K43" i="11"/>
  <c r="L43" i="11"/>
  <c r="M20" i="11"/>
  <c r="N20" i="11"/>
  <c r="M43" i="11"/>
  <c r="N43" i="11"/>
  <c r="O20" i="11"/>
  <c r="P20" i="11"/>
  <c r="O43" i="11"/>
  <c r="Q20" i="11"/>
  <c r="Q43" i="11"/>
  <c r="P43" i="11"/>
  <c r="M42" i="9" l="1"/>
  <c r="B10" i="18"/>
  <c r="E16" i="13"/>
  <c r="I16" i="13" s="1"/>
  <c r="A44" i="13" s="1"/>
  <c r="E17" i="13"/>
  <c r="F17" i="13" s="1"/>
  <c r="I17" i="13" s="1"/>
  <c r="A45" i="13" s="1"/>
  <c r="A6" i="9"/>
  <c r="D6" i="9" s="1"/>
  <c r="H47" i="10"/>
  <c r="I47" i="10" s="1"/>
  <c r="J47" i="10" s="1"/>
  <c r="K47" i="10" s="1"/>
  <c r="L47" i="10" s="1"/>
  <c r="M47" i="10" s="1"/>
  <c r="N47" i="10" s="1"/>
  <c r="O47" i="10" s="1"/>
  <c r="P47" i="10" s="1"/>
  <c r="Q47" i="10" s="1"/>
  <c r="R47" i="10" s="1"/>
  <c r="S47" i="10" s="1"/>
  <c r="V47" i="10"/>
  <c r="Y13" i="9"/>
  <c r="AC13" i="9"/>
  <c r="AG13" i="9"/>
  <c r="AK13" i="9"/>
  <c r="Z13" i="9"/>
  <c r="AD13" i="9"/>
  <c r="AH13" i="9"/>
  <c r="W13" i="9"/>
  <c r="AA13" i="9"/>
  <c r="AE13" i="9"/>
  <c r="AI13" i="9"/>
  <c r="B9" i="20"/>
  <c r="AO13" i="9"/>
  <c r="B42" i="20"/>
  <c r="X13" i="9"/>
  <c r="AB13" i="9"/>
  <c r="AF13" i="9"/>
  <c r="I29" i="13"/>
  <c r="A57" i="13" s="1"/>
  <c r="C46" i="11"/>
  <c r="C47" i="11" s="1"/>
  <c r="B106" i="18"/>
  <c r="B31" i="20"/>
  <c r="B8" i="13"/>
  <c r="E19" i="13"/>
  <c r="B435" i="20" s="1"/>
  <c r="W10" i="9"/>
  <c r="W23" i="9" s="1"/>
  <c r="E50" i="10" s="1"/>
  <c r="AA10" i="9"/>
  <c r="AE10" i="9"/>
  <c r="AI10" i="9"/>
  <c r="AI23" i="9" s="1"/>
  <c r="Q50" i="10" s="1"/>
  <c r="Y10" i="9"/>
  <c r="AC10" i="9"/>
  <c r="AC23" i="9" s="1"/>
  <c r="K50" i="10" s="1"/>
  <c r="AG10" i="9"/>
  <c r="AK10" i="9"/>
  <c r="Z10" i="9"/>
  <c r="AD10" i="9"/>
  <c r="AD23" i="9" s="1"/>
  <c r="L50" i="10" s="1"/>
  <c r="AH10" i="9"/>
  <c r="K23" i="9"/>
  <c r="E21" i="13" s="1"/>
  <c r="I21" i="13" s="1"/>
  <c r="A49" i="13" s="1"/>
  <c r="X10" i="9"/>
  <c r="X23" i="9" s="1"/>
  <c r="F50" i="10" s="1"/>
  <c r="AB10" i="9"/>
  <c r="AF10" i="9"/>
  <c r="G24" i="9"/>
  <c r="H60" i="4"/>
  <c r="E10" i="10" s="1"/>
  <c r="J32" i="4"/>
  <c r="I46" i="10"/>
  <c r="J46" i="10" s="1"/>
  <c r="K46" i="10" s="1"/>
  <c r="L46" i="10" s="1"/>
  <c r="M46" i="10" s="1"/>
  <c r="N46" i="10" s="1"/>
  <c r="O46" i="10" s="1"/>
  <c r="P46" i="10" s="1"/>
  <c r="Q46" i="10" s="1"/>
  <c r="R46" i="10" s="1"/>
  <c r="S46" i="10" s="1"/>
  <c r="J54" i="4"/>
  <c r="R43" i="4"/>
  <c r="B302" i="20" s="1"/>
  <c r="C26" i="13"/>
  <c r="I26" i="13" s="1"/>
  <c r="A54" i="13" s="1"/>
  <c r="F4" i="13"/>
  <c r="B165" i="18" s="1"/>
  <c r="E4" i="10"/>
  <c r="D44" i="10" s="1"/>
  <c r="B159" i="18" s="1"/>
  <c r="D62" i="4"/>
  <c r="J12" i="5"/>
  <c r="B332" i="20" s="1"/>
  <c r="M9" i="2"/>
  <c r="B327" i="20" s="1"/>
  <c r="B100" i="18"/>
  <c r="I20" i="13"/>
  <c r="A48" i="13" s="1"/>
  <c r="B349" i="20"/>
  <c r="B452" i="20"/>
  <c r="E48" i="10"/>
  <c r="B404" i="20"/>
  <c r="B145" i="18"/>
  <c r="E28" i="13"/>
  <c r="B28" i="13" s="1"/>
  <c r="I28" i="13" s="1"/>
  <c r="A56" i="13" s="1"/>
  <c r="AL22" i="9"/>
  <c r="B375" i="20"/>
  <c r="AJ23" i="9"/>
  <c r="R50" i="10" s="1"/>
  <c r="AO10" i="9"/>
  <c r="B30" i="13"/>
  <c r="E30" i="13" s="1"/>
  <c r="E18" i="11"/>
  <c r="E44" i="11" s="1"/>
  <c r="E46" i="11" s="1"/>
  <c r="F15" i="11"/>
  <c r="D46" i="11"/>
  <c r="R44" i="11"/>
  <c r="B415" i="20" s="1"/>
  <c r="H51" i="5"/>
  <c r="H12" i="5"/>
  <c r="E12" i="5" s="1"/>
  <c r="H115" i="5"/>
  <c r="B355" i="20"/>
  <c r="J27" i="5"/>
  <c r="J33" i="5"/>
  <c r="A26" i="5"/>
  <c r="J26" i="5"/>
  <c r="J83" i="5"/>
  <c r="B317" i="20" s="1"/>
  <c r="J31" i="5"/>
  <c r="J32" i="5"/>
  <c r="B310" i="20"/>
  <c r="B408" i="20"/>
  <c r="C117" i="5"/>
  <c r="B94" i="18" s="1"/>
  <c r="B316" i="20"/>
  <c r="J44" i="9"/>
  <c r="B312" i="20"/>
  <c r="I15" i="13"/>
  <c r="A43" i="13" s="1"/>
  <c r="E18" i="13"/>
  <c r="B468" i="20" s="1"/>
  <c r="J107" i="5"/>
  <c r="A4" i="2"/>
  <c r="A17" i="4"/>
  <c r="B8" i="18"/>
  <c r="E7" i="4"/>
  <c r="AO22" i="9" l="1"/>
  <c r="B421" i="20" s="1"/>
  <c r="AH23" i="9"/>
  <c r="P50" i="10" s="1"/>
  <c r="AG23" i="9"/>
  <c r="O50" i="10" s="1"/>
  <c r="Z23" i="9"/>
  <c r="H50" i="10" s="1"/>
  <c r="Y23" i="9"/>
  <c r="G50" i="10" s="1"/>
  <c r="L15" i="13"/>
  <c r="B338" i="20" s="1"/>
  <c r="B12" i="13"/>
  <c r="E12" i="13" s="1" a="1"/>
  <c r="E12" i="13" s="1"/>
  <c r="C8" i="13"/>
  <c r="I8" i="13" s="1"/>
  <c r="A37" i="13" s="1"/>
  <c r="B343" i="20"/>
  <c r="D46" i="10"/>
  <c r="D22" i="10"/>
  <c r="D26" i="10"/>
  <c r="D32" i="10"/>
  <c r="D36" i="10"/>
  <c r="D41" i="10"/>
  <c r="D30" i="10"/>
  <c r="D31" i="10"/>
  <c r="D35" i="10"/>
  <c r="D27" i="10"/>
  <c r="D23" i="10"/>
  <c r="D28" i="10"/>
  <c r="D33" i="10"/>
  <c r="D37" i="10"/>
  <c r="D42" i="10"/>
  <c r="D21" i="10"/>
  <c r="D20" i="10"/>
  <c r="D24" i="10"/>
  <c r="D29" i="10"/>
  <c r="D34" i="10"/>
  <c r="D39" i="10"/>
  <c r="D43" i="10"/>
  <c r="D25" i="10"/>
  <c r="D40" i="10"/>
  <c r="AK23" i="9"/>
  <c r="S50" i="10" s="1"/>
  <c r="AF23" i="9"/>
  <c r="N50" i="10" s="1"/>
  <c r="AE23" i="9"/>
  <c r="M50" i="10" s="1"/>
  <c r="B416" i="20"/>
  <c r="B384" i="20"/>
  <c r="AA23" i="9"/>
  <c r="I50" i="10" s="1"/>
  <c r="AB23" i="9"/>
  <c r="J50" i="10" s="1"/>
  <c r="D47" i="11"/>
  <c r="F10" i="10"/>
  <c r="F17" i="10" s="1"/>
  <c r="I19" i="13"/>
  <c r="A47" i="13" s="1"/>
  <c r="B347" i="20"/>
  <c r="B380" i="20"/>
  <c r="B471" i="20"/>
  <c r="I30" i="13"/>
  <c r="A58" i="13" s="1"/>
  <c r="V11" i="10"/>
  <c r="B318" i="20" s="1"/>
  <c r="E17" i="10"/>
  <c r="C20" i="10" s="1"/>
  <c r="R45" i="4"/>
  <c r="E16" i="10"/>
  <c r="T16" i="10" s="1"/>
  <c r="I18" i="13"/>
  <c r="A46" i="13" s="1"/>
  <c r="L16" i="13"/>
  <c r="B454" i="20" s="1"/>
  <c r="B9" i="13"/>
  <c r="V46" i="10"/>
  <c r="B167" i="18"/>
  <c r="C9" i="13"/>
  <c r="G10" i="10"/>
  <c r="G17" i="10" s="1"/>
  <c r="D9" i="13"/>
  <c r="B174" i="18" s="1"/>
  <c r="F7" i="13"/>
  <c r="B168" i="18"/>
  <c r="B148" i="18"/>
  <c r="W24" i="9"/>
  <c r="W25" i="9" s="1"/>
  <c r="B424" i="20" s="1"/>
  <c r="B321" i="20"/>
  <c r="B150" i="18"/>
  <c r="D115" i="5"/>
  <c r="E115" i="5"/>
  <c r="D51" i="5"/>
  <c r="E51" i="5"/>
  <c r="E47" i="11"/>
  <c r="G15" i="11"/>
  <c r="F18" i="11"/>
  <c r="F44" i="11" s="1"/>
  <c r="F46" i="11" s="1"/>
  <c r="B438" i="20"/>
  <c r="B340" i="20"/>
  <c r="B437" i="20"/>
  <c r="B339" i="20"/>
  <c r="B439" i="20"/>
  <c r="B341" i="20"/>
  <c r="B171" i="18"/>
  <c r="J122" i="5"/>
  <c r="B335" i="20" s="1"/>
  <c r="H79" i="5"/>
  <c r="H40" i="5"/>
  <c r="H67" i="5"/>
  <c r="H100" i="5"/>
  <c r="H106" i="5"/>
  <c r="H92" i="5"/>
  <c r="H25" i="5"/>
  <c r="B170" i="18"/>
  <c r="B376" i="20"/>
  <c r="J121" i="5"/>
  <c r="B331" i="20" s="1"/>
  <c r="B357" i="20"/>
  <c r="A43" i="9"/>
  <c r="J43" i="9"/>
  <c r="J45" i="9"/>
  <c r="B361" i="20"/>
  <c r="B353" i="20"/>
  <c r="D12" i="5"/>
  <c r="B377" i="20"/>
  <c r="B354" i="20"/>
  <c r="J25" i="5"/>
  <c r="B311" i="20" s="1"/>
  <c r="J106" i="5"/>
  <c r="E16" i="4"/>
  <c r="E13" i="4"/>
  <c r="AP22" i="9" l="1"/>
  <c r="B423" i="20" s="1"/>
  <c r="B432" i="20"/>
  <c r="F16" i="10"/>
  <c r="F18" i="10" s="1"/>
  <c r="E7" i="13"/>
  <c r="M7" i="13" s="1"/>
  <c r="B447" i="20" s="1"/>
  <c r="B345" i="20"/>
  <c r="G20" i="10"/>
  <c r="G44" i="10" s="1"/>
  <c r="G48" i="10" s="1"/>
  <c r="F20" i="10"/>
  <c r="F44" i="10" s="1"/>
  <c r="F48" i="10" s="1"/>
  <c r="E18" i="10"/>
  <c r="B117" i="18" s="1"/>
  <c r="I9" i="13"/>
  <c r="A38" i="13" s="1"/>
  <c r="L10" i="13"/>
  <c r="B470" i="20" s="1"/>
  <c r="H10" i="10"/>
  <c r="G16" i="10"/>
  <c r="G18" i="10" s="1"/>
  <c r="A68" i="10"/>
  <c r="B381" i="20"/>
  <c r="D106" i="5"/>
  <c r="E106" i="5"/>
  <c r="B24" i="13" s="1"/>
  <c r="D25" i="5"/>
  <c r="E25" i="5"/>
  <c r="D67" i="5"/>
  <c r="E67" i="5"/>
  <c r="D79" i="5"/>
  <c r="E79" i="5"/>
  <c r="D100" i="5"/>
  <c r="E100" i="5"/>
  <c r="D92" i="5"/>
  <c r="E92" i="5"/>
  <c r="D40" i="5"/>
  <c r="E40" i="5"/>
  <c r="F47" i="11"/>
  <c r="G18" i="11"/>
  <c r="G44" i="11" s="1"/>
  <c r="G46" i="11" s="1"/>
  <c r="H15" i="11"/>
  <c r="H117" i="5"/>
  <c r="E15" i="4"/>
  <c r="B15" i="4" s="1"/>
  <c r="E39" i="4" s="1"/>
  <c r="E14" i="4"/>
  <c r="D14" i="4" s="1"/>
  <c r="E36" i="4" s="1"/>
  <c r="B13" i="4"/>
  <c r="E29" i="4" s="1"/>
  <c r="C13" i="4"/>
  <c r="E11" i="4"/>
  <c r="B11" i="4" s="1"/>
  <c r="E19" i="4" s="1"/>
  <c r="E12" i="4"/>
  <c r="D12" i="4" s="1"/>
  <c r="E26" i="4" s="1"/>
  <c r="D13" i="4"/>
  <c r="E31" i="4" s="1"/>
  <c r="C16" i="4"/>
  <c r="D16" i="4"/>
  <c r="E46" i="4" s="1"/>
  <c r="B16" i="4"/>
  <c r="E44" i="4" s="1"/>
  <c r="F13" i="4"/>
  <c r="F16" i="4"/>
  <c r="F49" i="10" l="1"/>
  <c r="F51" i="10" s="1"/>
  <c r="I7" i="13"/>
  <c r="A36" i="13" s="1"/>
  <c r="G47" i="11"/>
  <c r="G49" i="10"/>
  <c r="G51" i="10" s="1"/>
  <c r="B319" i="20"/>
  <c r="E49" i="10"/>
  <c r="E55" i="10" s="1"/>
  <c r="B382" i="20" s="1"/>
  <c r="D119" i="5"/>
  <c r="B95" i="18" s="1"/>
  <c r="D23" i="13"/>
  <c r="E23" i="13" s="1"/>
  <c r="I23" i="13" s="1"/>
  <c r="A51" i="13" s="1"/>
  <c r="I10" i="10"/>
  <c r="H17" i="10"/>
  <c r="H20" i="10" s="1"/>
  <c r="H44" i="10" s="1"/>
  <c r="H48" i="10" s="1"/>
  <c r="H16" i="10"/>
  <c r="I15" i="11"/>
  <c r="H18" i="11"/>
  <c r="H44" i="11" s="1"/>
  <c r="H46" i="11" s="1"/>
  <c r="H47" i="11" s="1"/>
  <c r="C11" i="4"/>
  <c r="E20" i="4" s="1"/>
  <c r="E30" i="4"/>
  <c r="B12" i="4"/>
  <c r="E24" i="4" s="1"/>
  <c r="B14" i="4"/>
  <c r="E34" i="4" s="1"/>
  <c r="C12" i="4"/>
  <c r="C14" i="4"/>
  <c r="G13" i="4"/>
  <c r="E33" i="4" s="1"/>
  <c r="H13" i="4"/>
  <c r="I13" i="4"/>
  <c r="E32" i="4"/>
  <c r="G16" i="4"/>
  <c r="E48" i="4" s="1"/>
  <c r="H16" i="4"/>
  <c r="I16" i="4"/>
  <c r="E47" i="4"/>
  <c r="D15" i="4"/>
  <c r="E41" i="4" s="1"/>
  <c r="F11" i="4"/>
  <c r="D11" i="4"/>
  <c r="E21" i="4" s="1"/>
  <c r="F14" i="4"/>
  <c r="F15" i="4"/>
  <c r="E42" i="4" s="1"/>
  <c r="C15" i="4"/>
  <c r="E40" i="4" s="1"/>
  <c r="F12" i="4"/>
  <c r="E45" i="4"/>
  <c r="F55" i="10" l="1"/>
  <c r="F56" i="10" s="1"/>
  <c r="G55" i="10"/>
  <c r="G56" i="10" s="1"/>
  <c r="E56" i="10"/>
  <c r="B156" i="18" s="1"/>
  <c r="B153" i="18"/>
  <c r="E51" i="10"/>
  <c r="B320" i="20"/>
  <c r="B149" i="18"/>
  <c r="J119" i="5"/>
  <c r="B330" i="20" s="1"/>
  <c r="C42" i="9"/>
  <c r="B27" i="9"/>
  <c r="E121" i="5"/>
  <c r="B172" i="18" s="1"/>
  <c r="B402" i="20"/>
  <c r="B467" i="20"/>
  <c r="H18" i="10"/>
  <c r="H49" i="10" s="1"/>
  <c r="H51" i="10" s="1"/>
  <c r="J10" i="10"/>
  <c r="I16" i="10"/>
  <c r="I17" i="10"/>
  <c r="I20" i="10" s="1"/>
  <c r="I44" i="10" s="1"/>
  <c r="I48" i="10" s="1"/>
  <c r="J15" i="11"/>
  <c r="I18" i="11"/>
  <c r="I44" i="11" s="1"/>
  <c r="I46" i="11" s="1"/>
  <c r="I47" i="11" s="1"/>
  <c r="E35" i="4"/>
  <c r="E25" i="4"/>
  <c r="G14" i="4"/>
  <c r="E38" i="4" s="1"/>
  <c r="I14" i="4"/>
  <c r="H14" i="4"/>
  <c r="E37" i="4"/>
  <c r="E27" i="4"/>
  <c r="I12" i="4"/>
  <c r="G12" i="4"/>
  <c r="E28" i="4" s="1"/>
  <c r="H12" i="4"/>
  <c r="E22" i="4"/>
  <c r="G11" i="4"/>
  <c r="E23" i="4" s="1"/>
  <c r="I11" i="4"/>
  <c r="H11" i="4"/>
  <c r="I15" i="4"/>
  <c r="G15" i="4"/>
  <c r="E43" i="4" s="1"/>
  <c r="H15" i="4"/>
  <c r="H55" i="10" l="1"/>
  <c r="H56" i="10" s="1"/>
  <c r="E52" i="10"/>
  <c r="B152" i="18"/>
  <c r="E59" i="10"/>
  <c r="F59" i="10" s="1"/>
  <c r="G59" i="10" s="1"/>
  <c r="H59" i="10" s="1"/>
  <c r="B322" i="20"/>
  <c r="B96" i="18"/>
  <c r="B6" i="9"/>
  <c r="C24" i="9"/>
  <c r="B173" i="18"/>
  <c r="B175" i="18"/>
  <c r="D24" i="13"/>
  <c r="E24" i="13" s="1"/>
  <c r="I18" i="10"/>
  <c r="I49" i="10" s="1"/>
  <c r="K10" i="10"/>
  <c r="J17" i="10"/>
  <c r="J20" i="10" s="1"/>
  <c r="J44" i="10" s="1"/>
  <c r="J48" i="10" s="1"/>
  <c r="J16" i="10"/>
  <c r="K15" i="11"/>
  <c r="J18" i="11"/>
  <c r="J44" i="11" s="1"/>
  <c r="J46" i="11" s="1"/>
  <c r="J47" i="11" s="1"/>
  <c r="F52" i="10" l="1"/>
  <c r="V56" i="10"/>
  <c r="B383" i="20" s="1"/>
  <c r="B151" i="18"/>
  <c r="E54" i="10"/>
  <c r="B342" i="20"/>
  <c r="I24" i="13"/>
  <c r="A52" i="13" s="1"/>
  <c r="I51" i="10"/>
  <c r="I59" i="10" s="1"/>
  <c r="I55" i="10"/>
  <c r="J18" i="10"/>
  <c r="J49" i="10" s="1"/>
  <c r="L10" i="10"/>
  <c r="K16" i="10"/>
  <c r="K17" i="10"/>
  <c r="K20" i="10" s="1"/>
  <c r="K44" i="10" s="1"/>
  <c r="K48" i="10" s="1"/>
  <c r="K18" i="11"/>
  <c r="K44" i="11" s="1"/>
  <c r="K46" i="11" s="1"/>
  <c r="K47" i="11" s="1"/>
  <c r="L15" i="11"/>
  <c r="F54" i="10" l="1"/>
  <c r="G52" i="10"/>
  <c r="G54" i="10" s="1"/>
  <c r="I56" i="10"/>
  <c r="E58" i="10"/>
  <c r="V61" i="10"/>
  <c r="B412" i="20" s="1"/>
  <c r="B325" i="20"/>
  <c r="K18" i="10"/>
  <c r="K49" i="10" s="1"/>
  <c r="M10" i="10"/>
  <c r="L16" i="10"/>
  <c r="L17" i="10"/>
  <c r="L20" i="10" s="1"/>
  <c r="L44" i="10" s="1"/>
  <c r="L48" i="10" s="1"/>
  <c r="J51" i="10"/>
  <c r="J59" i="10" s="1"/>
  <c r="J55" i="10"/>
  <c r="J56" i="10" s="1"/>
  <c r="L18" i="11"/>
  <c r="L44" i="11" s="1"/>
  <c r="L46" i="11" s="1"/>
  <c r="L47" i="11" s="1"/>
  <c r="M15" i="11"/>
  <c r="F58" i="10" l="1"/>
  <c r="G58" i="10" s="1"/>
  <c r="H52" i="10"/>
  <c r="L18" i="10"/>
  <c r="L49" i="10" s="1"/>
  <c r="N10" i="10"/>
  <c r="M17" i="10"/>
  <c r="M20" i="10" s="1"/>
  <c r="M44" i="10" s="1"/>
  <c r="M48" i="10" s="1"/>
  <c r="M16" i="10"/>
  <c r="K51" i="10"/>
  <c r="K59" i="10" s="1"/>
  <c r="K55" i="10"/>
  <c r="K56" i="10" s="1"/>
  <c r="M18" i="11"/>
  <c r="M44" i="11" s="1"/>
  <c r="M46" i="11" s="1"/>
  <c r="M47" i="11" s="1"/>
  <c r="N15" i="11"/>
  <c r="H54" i="10" l="1"/>
  <c r="H58" i="10" s="1"/>
  <c r="I52" i="10"/>
  <c r="M18" i="10"/>
  <c r="M49" i="10" s="1"/>
  <c r="O10" i="10"/>
  <c r="N16" i="10"/>
  <c r="N17" i="10"/>
  <c r="N20" i="10" s="1"/>
  <c r="N44" i="10" s="1"/>
  <c r="N48" i="10" s="1"/>
  <c r="L51" i="10"/>
  <c r="L59" i="10" s="1"/>
  <c r="L55" i="10"/>
  <c r="L56" i="10" s="1"/>
  <c r="O15" i="11"/>
  <c r="N18" i="11"/>
  <c r="N44" i="11" s="1"/>
  <c r="N46" i="11" s="1"/>
  <c r="N47" i="11" s="1"/>
  <c r="I54" i="10" l="1"/>
  <c r="I58" i="10" s="1"/>
  <c r="J52" i="10"/>
  <c r="N18" i="10"/>
  <c r="N49" i="10" s="1"/>
  <c r="P10" i="10"/>
  <c r="O16" i="10"/>
  <c r="O17" i="10"/>
  <c r="O20" i="10" s="1"/>
  <c r="O44" i="10" s="1"/>
  <c r="O48" i="10" s="1"/>
  <c r="M55" i="10"/>
  <c r="M56" i="10" s="1"/>
  <c r="M51" i="10"/>
  <c r="M59" i="10" s="1"/>
  <c r="O18" i="11"/>
  <c r="O44" i="11" s="1"/>
  <c r="O46" i="11" s="1"/>
  <c r="O47" i="11" s="1"/>
  <c r="P15" i="11"/>
  <c r="J54" i="10" l="1"/>
  <c r="J58" i="10" s="1"/>
  <c r="K52" i="10"/>
  <c r="O18" i="10"/>
  <c r="O49" i="10" s="1"/>
  <c r="Q10" i="10"/>
  <c r="P17" i="10"/>
  <c r="P20" i="10" s="1"/>
  <c r="P44" i="10" s="1"/>
  <c r="P48" i="10" s="1"/>
  <c r="P16" i="10"/>
  <c r="N51" i="10"/>
  <c r="N59" i="10" s="1"/>
  <c r="N55" i="10"/>
  <c r="N56" i="10" s="1"/>
  <c r="P18" i="11"/>
  <c r="P44" i="11" s="1"/>
  <c r="P46" i="11" s="1"/>
  <c r="P47" i="11" s="1"/>
  <c r="Q15" i="11"/>
  <c r="Q18" i="11" s="1"/>
  <c r="Q44" i="11" s="1"/>
  <c r="Q46" i="11" s="1"/>
  <c r="K54" i="10" l="1"/>
  <c r="K58" i="10" s="1"/>
  <c r="L52" i="10"/>
  <c r="P18" i="10"/>
  <c r="P49" i="10" s="1"/>
  <c r="R10" i="10"/>
  <c r="Q17" i="10"/>
  <c r="Q20" i="10" s="1"/>
  <c r="Q44" i="10" s="1"/>
  <c r="Q48" i="10" s="1"/>
  <c r="Q16" i="10"/>
  <c r="O55" i="10"/>
  <c r="O56" i="10" s="1"/>
  <c r="O51" i="10"/>
  <c r="O59" i="10" s="1"/>
  <c r="Q47" i="11"/>
  <c r="L54" i="10" l="1"/>
  <c r="L58" i="10" s="1"/>
  <c r="M52" i="10"/>
  <c r="Q18" i="10"/>
  <c r="Q49" i="10" s="1"/>
  <c r="S10" i="10"/>
  <c r="R16" i="10"/>
  <c r="R17" i="10"/>
  <c r="R20" i="10" s="1"/>
  <c r="R44" i="10" s="1"/>
  <c r="R48" i="10" s="1"/>
  <c r="P51" i="10"/>
  <c r="P59" i="10" s="1"/>
  <c r="P55" i="10"/>
  <c r="P56" i="10" s="1"/>
  <c r="M54" i="10" l="1"/>
  <c r="M58" i="10" s="1"/>
  <c r="N52" i="10"/>
  <c r="R18" i="10"/>
  <c r="R49" i="10" s="1"/>
  <c r="S17" i="10"/>
  <c r="S20" i="10" s="1"/>
  <c r="S44" i="10" s="1"/>
  <c r="S48" i="10" s="1"/>
  <c r="S16" i="10"/>
  <c r="Q55" i="10"/>
  <c r="Q56" i="10" s="1"/>
  <c r="Q51" i="10"/>
  <c r="Q59" i="10" s="1"/>
  <c r="N54" i="10" l="1"/>
  <c r="N58" i="10" s="1"/>
  <c r="O52" i="10"/>
  <c r="S18" i="10"/>
  <c r="S49" i="10" s="1"/>
  <c r="R55" i="10"/>
  <c r="R56" i="10" s="1"/>
  <c r="R51" i="10"/>
  <c r="R59" i="10" s="1"/>
  <c r="O54" i="10" l="1"/>
  <c r="O58" i="10" s="1"/>
  <c r="P52" i="10"/>
  <c r="S55" i="10"/>
  <c r="B10" i="13" s="1"/>
  <c r="I10" i="13" s="1"/>
  <c r="A39" i="13" s="1"/>
  <c r="S51" i="10"/>
  <c r="P54" i="10" l="1"/>
  <c r="P58" i="10" s="1"/>
  <c r="Q52" i="10"/>
  <c r="B160" i="18"/>
  <c r="B161" i="18" s="1"/>
  <c r="B163" i="18" s="1"/>
  <c r="S59" i="10"/>
  <c r="S56" i="10"/>
  <c r="B155" i="18"/>
  <c r="B11" i="13"/>
  <c r="B154" i="18"/>
  <c r="Q54" i="10" l="1"/>
  <c r="Q58" i="10" s="1"/>
  <c r="R52" i="10"/>
  <c r="R54" i="10" s="1"/>
  <c r="B157" i="18"/>
  <c r="B13" i="13"/>
  <c r="B158" i="18"/>
  <c r="E13" i="13"/>
  <c r="I11" i="13"/>
  <c r="A40" i="13" s="1"/>
  <c r="L11" i="13"/>
  <c r="B323" i="20" s="1"/>
  <c r="S52" i="10" l="1"/>
  <c r="B176" i="18" s="1"/>
  <c r="B164" i="18" s="1"/>
  <c r="R58" i="10"/>
  <c r="L12" i="13"/>
  <c r="B473" i="20" s="1"/>
  <c r="I13" i="13"/>
  <c r="A41" i="13" s="1"/>
  <c r="S54" i="10" l="1"/>
  <c r="S58" i="10" s="1"/>
  <c r="B22" i="13"/>
  <c r="V52" i="10"/>
  <c r="V57" i="10" l="1"/>
  <c r="B420" i="20" s="1"/>
  <c r="V58" i="10"/>
  <c r="B450" i="20" s="1"/>
  <c r="V55" i="10"/>
  <c r="B419" i="20" s="1"/>
  <c r="V54" i="10"/>
  <c r="B388" i="20" s="1"/>
  <c r="B387" i="20"/>
  <c r="B418" i="20"/>
  <c r="L22" i="13"/>
  <c r="L20" i="13"/>
  <c r="L21" i="13" s="1"/>
  <c r="B474" i="20" s="1"/>
  <c r="I22" i="13"/>
  <c r="A50" i="13"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jacksona</author>
    <author>Alyse Mioni</author>
  </authors>
  <commentList>
    <comment ref="C12" authorId="0" shapeId="0" xr:uid="{00000000-0006-0000-0100-000001000000}">
      <text>
        <r>
          <rPr>
            <sz val="9"/>
            <color indexed="81"/>
            <rFont val="Tahoma"/>
            <family val="2"/>
          </rPr>
          <t>Services provided (in addition to housing) for individuals with mental or physical disabilities, Individuals Fleeing Domestic and/or Physical Abuse, Homeless and/or Transitional housing, Assisted living Facilities, Drug and Alcohol Recovery Facilities, Group Homes, etc.</t>
        </r>
      </text>
    </comment>
    <comment ref="C14" authorId="0" shapeId="0" xr:uid="{00000000-0006-0000-0100-000002000000}">
      <text>
        <r>
          <rPr>
            <sz val="9"/>
            <color indexed="81"/>
            <rFont val="Tahoma"/>
            <family val="2"/>
          </rPr>
          <t xml:space="preserve">Commercial or Supportive Service Space. 
Non-Residential space does not include space for amenities like community buildings, clubhouses, or leasing offices.
</t>
        </r>
      </text>
    </comment>
    <comment ref="C15" authorId="0" shapeId="0" xr:uid="{00000000-0006-0000-0100-000003000000}">
      <text>
        <r>
          <rPr>
            <sz val="9"/>
            <color indexed="81"/>
            <rFont val="Tahoma"/>
            <family val="2"/>
          </rPr>
          <t>A relationship or commonality between the development team and the contractor.</t>
        </r>
      </text>
    </comment>
    <comment ref="C20" authorId="0" shapeId="0" xr:uid="{00000000-0006-0000-0100-000004000000}">
      <text>
        <r>
          <rPr>
            <sz val="9"/>
            <color indexed="81"/>
            <rFont val="Tahoma"/>
            <family val="2"/>
          </rPr>
          <t>Only choose Subsidized Advance if the Project intends to repay FHLBank the full amount awarded.</t>
        </r>
      </text>
    </comment>
    <comment ref="C21" authorId="0" shapeId="0" xr:uid="{00000000-0006-0000-0100-000005000000}">
      <text>
        <r>
          <rPr>
            <sz val="9"/>
            <color indexed="81"/>
            <rFont val="Tahoma"/>
            <family val="2"/>
          </rPr>
          <t>Examples of Rental Assistance are HUD programs, Section 8, local programs, etc.
Project Based: Lump payment, not based on rent but overall project
Rent Based: Pays difference between Tenant portion and total rent</t>
        </r>
      </text>
    </comment>
    <comment ref="C22" authorId="1" shapeId="0" xr:uid="{00000000-0006-0000-0100-000006000000}">
      <text>
        <r>
          <rPr>
            <sz val="9"/>
            <color indexed="81"/>
            <rFont val="Tahoma"/>
            <family val="2"/>
          </rPr>
          <t xml:space="preserve">The number of months from project completion to lease up based on the information in the market study or needs assessment.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jacksona</author>
  </authors>
  <commentList>
    <comment ref="A9" authorId="0" shapeId="0" xr:uid="{00000000-0006-0000-0300-000001000000}">
      <text>
        <r>
          <rPr>
            <b/>
            <sz val="9"/>
            <color indexed="81"/>
            <rFont val="Tahoma"/>
            <family val="2"/>
          </rPr>
          <t>The income limits in this table are calculated based on the AMI for the Project's location.  These calculations are consistent with the formula used by USDA to calculate the USDA published income limit tables.</t>
        </r>
      </text>
    </comment>
    <comment ref="G18" authorId="0" shapeId="0" xr:uid="{00000000-0006-0000-0300-000002000000}">
      <text>
        <r>
          <rPr>
            <sz val="9"/>
            <color indexed="81"/>
            <rFont val="Tahoma"/>
            <family val="2"/>
          </rPr>
          <t xml:space="preserve">Enter the difference between the proposed tenant share of rent and total rent in this column. This is the amount the Project receives for assistance per unit.
</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Toshiba Preferred User</author>
    <author>jacksona</author>
    <author>BenedictC</author>
  </authors>
  <commentList>
    <comment ref="E4" authorId="0" shapeId="0" xr:uid="{00000000-0006-0000-0900-000001000000}">
      <text>
        <r>
          <rPr>
            <sz val="8"/>
            <color indexed="81"/>
            <rFont val="Tahoma"/>
            <family val="2"/>
          </rPr>
          <t>The number of units is taken from the Total Units shown on the Rental Project Worksheet</t>
        </r>
      </text>
    </comment>
    <comment ref="E10" authorId="0" shapeId="0" xr:uid="{00000000-0006-0000-0900-000002000000}">
      <text>
        <r>
          <rPr>
            <sz val="8"/>
            <color indexed="81"/>
            <rFont val="Tahoma"/>
            <family val="2"/>
          </rPr>
          <t>The total rent revenue is taken from the Total Revenue shown on the Rental Project Worksheet</t>
        </r>
      </text>
    </comment>
    <comment ref="D44" authorId="1" shapeId="0" xr:uid="{00000000-0006-0000-0900-000003000000}">
      <text>
        <r>
          <rPr>
            <sz val="9"/>
            <color indexed="81"/>
            <rFont val="Tahoma"/>
            <family val="2"/>
          </rPr>
          <t>Total Operating Expenses Per Unit Per Annum should be $3,200 to $6,000</t>
        </r>
      </text>
    </comment>
    <comment ref="E45" authorId="1" shapeId="0" xr:uid="{00000000-0006-0000-0900-000004000000}">
      <text>
        <r>
          <rPr>
            <sz val="9"/>
            <color indexed="81"/>
            <rFont val="Tahoma"/>
            <family val="2"/>
          </rPr>
          <t>Enter the percentage the Replacement Reserves should increase year to year.</t>
        </r>
      </text>
    </comment>
    <comment ref="E50" authorId="2" shapeId="0" xr:uid="{00000000-0006-0000-0900-000005000000}">
      <text>
        <r>
          <rPr>
            <sz val="8"/>
            <color indexed="81"/>
            <rFont val="Tahoma"/>
            <family val="2"/>
          </rPr>
          <t>The Annual Debt Service is taken from the total shown on the Sources of Funds.  A rate and term must be entered for the First Mortgage for fields to populate.</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Toshiba Preferred User</author>
  </authors>
  <commentList>
    <comment ref="D8" authorId="0" shapeId="0" xr:uid="{00000000-0006-0000-0A00-000001000000}">
      <text>
        <r>
          <rPr>
            <sz val="8"/>
            <color indexed="81"/>
            <rFont val="Tahoma"/>
            <family val="2"/>
          </rPr>
          <t>The number of units is taken from the Total Units shown on the Rental Project Worksheet</t>
        </r>
      </text>
    </comment>
  </commentList>
</comments>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<sst xmlns="http://schemas.openxmlformats.org/spreadsheetml/2006/main" count="3038" uniqueCount="1791">
  <si>
    <t>Project Name:</t>
  </si>
  <si>
    <t>Household Size</t>
  </si>
  <si>
    <t>Total Units</t>
  </si>
  <si>
    <t>Very Low-Income Units</t>
  </si>
  <si>
    <t>% Very Low-Income Units</t>
  </si>
  <si>
    <t>Total</t>
  </si>
  <si>
    <t>Land and Buildings</t>
  </si>
  <si>
    <t>Land Acquisition</t>
  </si>
  <si>
    <t>Building Acquisition</t>
  </si>
  <si>
    <t>Relocation Costs</t>
  </si>
  <si>
    <t>Subtotal</t>
  </si>
  <si>
    <t>Off-Site Improvements</t>
  </si>
  <si>
    <t>Environmental</t>
  </si>
  <si>
    <t>Rehabilitation Costs</t>
  </si>
  <si>
    <t>Tap Permit Fees</t>
  </si>
  <si>
    <t>Professional Fees</t>
  </si>
  <si>
    <t>Construction Interim Costs</t>
  </si>
  <si>
    <t>Construction Bond Premium</t>
  </si>
  <si>
    <t>Performance Bond</t>
  </si>
  <si>
    <t>Credit Report</t>
  </si>
  <si>
    <t>Discount Points</t>
  </si>
  <si>
    <t>Credit Enhancement Fee</t>
  </si>
  <si>
    <t>Inspection Fees</t>
  </si>
  <si>
    <t>Title, Recording and Escrow Fees</t>
  </si>
  <si>
    <t>Legal Fees</t>
  </si>
  <si>
    <t>Permanent Financing</t>
  </si>
  <si>
    <t>Bond Premium</t>
  </si>
  <si>
    <t>Permanent Loan Credit Enhancement</t>
  </si>
  <si>
    <t>Prepaid Mortgage Insurance Premium</t>
  </si>
  <si>
    <t>Soft Costs</t>
  </si>
  <si>
    <t>Environmental Study</t>
  </si>
  <si>
    <t>Tax Credit Fees</t>
  </si>
  <si>
    <t>Compliance Fees</t>
  </si>
  <si>
    <t>Cost Certification</t>
  </si>
  <si>
    <t>Contingency Soft Costs</t>
  </si>
  <si>
    <t>Syndication Costs</t>
  </si>
  <si>
    <t>Organization Costs</t>
  </si>
  <si>
    <t>Bridge Loan Expenses</t>
  </si>
  <si>
    <t>Tax Opinion</t>
  </si>
  <si>
    <t>Developer Fees</t>
  </si>
  <si>
    <t>Project Reserves</t>
  </si>
  <si>
    <t>Operating Reserves</t>
  </si>
  <si>
    <t>Replacement Reserve</t>
  </si>
  <si>
    <t>Debt Service Reserve</t>
  </si>
  <si>
    <t>Type</t>
  </si>
  <si>
    <t>Amount</t>
  </si>
  <si>
    <t>Rate</t>
  </si>
  <si>
    <t>Status</t>
  </si>
  <si>
    <t>FHLB AHP Subsidized Advance, or</t>
  </si>
  <si>
    <t>FHLB AHP Direct Subsidy</t>
  </si>
  <si>
    <t xml:space="preserve">Number of Units:   </t>
  </si>
  <si>
    <t>Year 1</t>
  </si>
  <si>
    <t>Year 2</t>
  </si>
  <si>
    <t>Year 3</t>
  </si>
  <si>
    <t>Year 4</t>
  </si>
  <si>
    <t>Year 5</t>
  </si>
  <si>
    <t>Year 6</t>
  </si>
  <si>
    <t>Year 7</t>
  </si>
  <si>
    <t>Year 8</t>
  </si>
  <si>
    <t>Year 9</t>
  </si>
  <si>
    <t>Year 10</t>
  </si>
  <si>
    <t>Year 11</t>
  </si>
  <si>
    <t>Year 12</t>
  </si>
  <si>
    <t>Year 13</t>
  </si>
  <si>
    <t>Year 14</t>
  </si>
  <si>
    <t>Year 15</t>
  </si>
  <si>
    <t>Per Unit</t>
  </si>
  <si>
    <t>Appraisal</t>
  </si>
  <si>
    <t>Real Estate Taxes</t>
  </si>
  <si>
    <t>Total Units:</t>
  </si>
  <si>
    <t>Percent</t>
  </si>
  <si>
    <t>Blue shaded areas indicate data to be entered by applicant.</t>
  </si>
  <si>
    <t>Grant</t>
  </si>
  <si>
    <t xml:space="preserve">Low-Income Housing Tax Credit Sales Price  </t>
  </si>
  <si>
    <t xml:space="preserve">Historic Tax Credit Sales Price  </t>
  </si>
  <si>
    <t>Demolition</t>
  </si>
  <si>
    <t># of Units</t>
  </si>
  <si>
    <t>&gt;30% AMI &lt;=40% AMI</t>
  </si>
  <si>
    <t>&lt;=30% AMI</t>
  </si>
  <si>
    <t xml:space="preserve">&gt;80% AMI </t>
  </si>
  <si>
    <t>Manager/Staff Units</t>
  </si>
  <si>
    <t>&lt;=30%</t>
  </si>
  <si>
    <t>&lt;=40%</t>
  </si>
  <si>
    <t>&lt;=50%</t>
  </si>
  <si>
    <t>&lt;=60%</t>
  </si>
  <si>
    <t>&lt;=70%</t>
  </si>
  <si>
    <t>&lt;=80%</t>
  </si>
  <si>
    <t>0 BR or SRO</t>
  </si>
  <si>
    <t>1 BR</t>
  </si>
  <si>
    <t>2 BR</t>
  </si>
  <si>
    <t>3 BR</t>
  </si>
  <si>
    <t>4 BR</t>
  </si>
  <si>
    <t>Units &lt;= 30% AMI</t>
  </si>
  <si>
    <t xml:space="preserve">New Construction Costs  </t>
  </si>
  <si>
    <t xml:space="preserve">General Requirements  </t>
  </si>
  <si>
    <t xml:space="preserve">Construction Contingency  </t>
  </si>
  <si>
    <t xml:space="preserve">Local Permit Fees  </t>
  </si>
  <si>
    <t xml:space="preserve">Engineering  </t>
  </si>
  <si>
    <t xml:space="preserve">Surveying  </t>
  </si>
  <si>
    <t xml:space="preserve">Hazard/Risk/Liability Insurance  </t>
  </si>
  <si>
    <t xml:space="preserve">Construction Loan Interest  </t>
  </si>
  <si>
    <t xml:space="preserve">Security  </t>
  </si>
  <si>
    <t xml:space="preserve">Revenue Escalator  </t>
  </si>
  <si>
    <t xml:space="preserve">If applicable, Interest Rate on Operating Reserve  </t>
  </si>
  <si>
    <t xml:space="preserve">Expense Escalator  </t>
  </si>
  <si>
    <t>1. INCOME</t>
  </si>
  <si>
    <t>Yellow shaded cells are protected and indicate references to other cells in the workbook or formulas that should not be changed.</t>
  </si>
  <si>
    <t>Land Improvements</t>
  </si>
  <si>
    <t xml:space="preserve">Earthwork - Site Grading, Clearing  </t>
  </si>
  <si>
    <t>Site Utilities</t>
  </si>
  <si>
    <t>Roads and Walks</t>
  </si>
  <si>
    <t>Site Improvements</t>
  </si>
  <si>
    <t>Lawns and Planting</t>
  </si>
  <si>
    <t>Unusual Site Conditions</t>
  </si>
  <si>
    <t>Feasibility Guideline Issues</t>
  </si>
  <si>
    <t>State</t>
  </si>
  <si>
    <t>Units by Type</t>
  </si>
  <si>
    <t>Units by AMI %</t>
  </si>
  <si>
    <t>&lt;=30</t>
  </si>
  <si>
    <t>30 - 40</t>
  </si>
  <si>
    <t>40 - 50</t>
  </si>
  <si>
    <t>50 - 60</t>
  </si>
  <si>
    <t>60 - 70</t>
  </si>
  <si>
    <t>70 - 80</t>
  </si>
  <si>
    <t>&gt;80</t>
  </si>
  <si>
    <t>Mgr</t>
  </si>
  <si>
    <t>Escalator</t>
  </si>
  <si>
    <t>3. RESERVES</t>
  </si>
  <si>
    <t>4. TOTAL RESERVES &amp; EXPENSES</t>
  </si>
  <si>
    <t>5. NET INCOME</t>
  </si>
  <si>
    <t>6. ANNUAL DEBT SERVICE</t>
  </si>
  <si>
    <t>Date:</t>
  </si>
  <si>
    <t>Eligible Basis</t>
  </si>
  <si>
    <t>Tax Credit</t>
  </si>
  <si>
    <t>Issue</t>
  </si>
  <si>
    <t>AHP Guideline</t>
  </si>
  <si>
    <t>Proposed Tenant Share of Rent</t>
  </si>
  <si>
    <t>Annual Rent Revenue</t>
  </si>
  <si>
    <t>Maximum AHP Rent</t>
  </si>
  <si>
    <t>Number of Bedrooms</t>
  </si>
  <si>
    <t>Income Restriction (%AMI)</t>
  </si>
  <si>
    <t>Term in Months</t>
  </si>
  <si>
    <t>Annual Debt Service</t>
  </si>
  <si>
    <t>Construction/Interim Financing</t>
  </si>
  <si>
    <t>50% (AMI) for the project location (4 per household):</t>
  </si>
  <si>
    <t xml:space="preserve">Construction and Rehabilitation </t>
  </si>
  <si>
    <t>Elevator?</t>
  </si>
  <si>
    <t>Gross floor area of all buildings (Sq Ft.)</t>
  </si>
  <si>
    <t>Type (Loan, Grant or Equity)</t>
  </si>
  <si>
    <t>Amortized in Months</t>
  </si>
  <si>
    <t>Management Fees</t>
  </si>
  <si>
    <t>Operating Reserves (capitalized)</t>
  </si>
  <si>
    <t>Debt Service Reserves</t>
  </si>
  <si>
    <t>Pro Forma</t>
  </si>
  <si>
    <t>Project Name</t>
  </si>
  <si>
    <t>Construction Loan Fee</t>
  </si>
  <si>
    <t>Permanent Loan Fee</t>
  </si>
  <si>
    <t>AHP Assisted Units (Units &lt; 80% AMI)</t>
  </si>
  <si>
    <t>&gt;40% AMI &lt;=50% AMI</t>
  </si>
  <si>
    <t>&gt;50% AMI &lt;=60% AMI</t>
  </si>
  <si>
    <t>&gt;60% AMI &lt;=70% AMI</t>
  </si>
  <si>
    <t>&gt;70% AMI &lt;=80% AMI</t>
  </si>
  <si>
    <t>2. OPERATING EXPENSES</t>
  </si>
  <si>
    <t xml:space="preserve">     A. Management Fee</t>
  </si>
  <si>
    <t xml:space="preserve">     B. Legal</t>
  </si>
  <si>
    <t xml:space="preserve">     C. Advertising</t>
  </si>
  <si>
    <t xml:space="preserve">     D. Gas &amp; Electric</t>
  </si>
  <si>
    <t xml:space="preserve">     E. Water &amp; Sewer</t>
  </si>
  <si>
    <t xml:space="preserve">     F. Supplies</t>
  </si>
  <si>
    <t xml:space="preserve">     G. Payroll</t>
  </si>
  <si>
    <t xml:space="preserve">     H. Waste Removal</t>
  </si>
  <si>
    <t xml:space="preserve">     K. Maintenance/Repair</t>
  </si>
  <si>
    <t xml:space="preserve">     L. Grounds &amp; Decorating</t>
  </si>
  <si>
    <t xml:space="preserve">     M.  Insurance</t>
  </si>
  <si>
    <t xml:space="preserve">     N. LIHTC Fees</t>
  </si>
  <si>
    <t xml:space="preserve">     O. Elevator Maintenance</t>
  </si>
  <si>
    <t xml:space="preserve">     P. Snow Removal</t>
  </si>
  <si>
    <t xml:space="preserve">     Q. Security</t>
  </si>
  <si>
    <t xml:space="preserve">     V. Local &amp; State Assessments</t>
  </si>
  <si>
    <t xml:space="preserve">     A. Replacement Reserves</t>
  </si>
  <si>
    <t xml:space="preserve"> A. Scheduled Residential Rents</t>
  </si>
  <si>
    <t xml:space="preserve"> B. Laundry, Parking &amp; Other Rev.</t>
  </si>
  <si>
    <t xml:space="preserve"> C. Property Tax Rebate/Refund</t>
  </si>
  <si>
    <t>Rental Project Worksheet</t>
  </si>
  <si>
    <t>FHLBank Topeka - - Affordable Housing Program</t>
  </si>
  <si>
    <t>Development Budget Worksheet</t>
  </si>
  <si>
    <t>Sources of Funds Worksheet</t>
  </si>
  <si>
    <t>Fee Analysis Worksheet</t>
  </si>
  <si>
    <t>Feasibility Analysis Worksheet</t>
  </si>
  <si>
    <t>FHLBank Topeka -- Affordable Housing Program</t>
  </si>
  <si>
    <t>Months of OpRes</t>
  </si>
  <si>
    <t>Months of DSRes</t>
  </si>
  <si>
    <t>Equity</t>
  </si>
  <si>
    <t>Approved</t>
  </si>
  <si>
    <t>Requested</t>
  </si>
  <si>
    <t>Total Number of buildings</t>
  </si>
  <si>
    <t>Residential bldg floor area (Sq Ft.)</t>
  </si>
  <si>
    <t>Validation</t>
  </si>
  <si>
    <t>Max EGI%</t>
  </si>
  <si>
    <t>1999</t>
  </si>
  <si>
    <t>2000</t>
  </si>
  <si>
    <t>2001</t>
  </si>
  <si>
    <t>2002</t>
  </si>
  <si>
    <t>2003</t>
  </si>
  <si>
    <t>2004</t>
  </si>
  <si>
    <t>2005</t>
  </si>
  <si>
    <t>2006</t>
  </si>
  <si>
    <t>2007</t>
  </si>
  <si>
    <t>2008</t>
  </si>
  <si>
    <t>2009</t>
  </si>
  <si>
    <t>2010</t>
  </si>
  <si>
    <t>2011</t>
  </si>
  <si>
    <t>2012</t>
  </si>
  <si>
    <t>Crawford Co, Arkansas</t>
  </si>
  <si>
    <t>Van Buren Co, Arkansas</t>
  </si>
  <si>
    <t>Adams Co, Colorado</t>
  </si>
  <si>
    <t>Alamosa Co, Colorado</t>
  </si>
  <si>
    <t>Arapahoe Co, Colorado</t>
  </si>
  <si>
    <t>Archuleta Co, Colorado</t>
  </si>
  <si>
    <t>Baca Co, Colorado</t>
  </si>
  <si>
    <t>Bent Co, Colorado</t>
  </si>
  <si>
    <t>Boulder Co, Colorado</t>
  </si>
  <si>
    <t>Chaffee Co, Colorado</t>
  </si>
  <si>
    <t>Cheyenne Co, Colorado</t>
  </si>
  <si>
    <t>Clear Creek Co, Colorado</t>
  </si>
  <si>
    <t>Conejos Co, Colorado</t>
  </si>
  <si>
    <t>Costilla Co, Colorado</t>
  </si>
  <si>
    <t>Crowley Co, Colorado</t>
  </si>
  <si>
    <t>Custer Co, Colorado</t>
  </si>
  <si>
    <t>Delta Co, Colorado</t>
  </si>
  <si>
    <t>Denver Co, Colorado</t>
  </si>
  <si>
    <t>Dolores Co, Colorado</t>
  </si>
  <si>
    <t>Douglas Co, Colorado</t>
  </si>
  <si>
    <t>Eagle Co, Colorado</t>
  </si>
  <si>
    <t>Elbert Co, Colorado</t>
  </si>
  <si>
    <t>El Paso Co, Colorado</t>
  </si>
  <si>
    <t>Fremont Co, Colorado</t>
  </si>
  <si>
    <t>Garfield Co, Colorado</t>
  </si>
  <si>
    <t>Gilpin Co, Colorado</t>
  </si>
  <si>
    <t>Grand Co, Colorado</t>
  </si>
  <si>
    <t>Gunnison Co, Colorado</t>
  </si>
  <si>
    <t>Hinsdale Co, Colorado</t>
  </si>
  <si>
    <t>Huerfano Co, Colorado</t>
  </si>
  <si>
    <t>Jackson Co, Colorado</t>
  </si>
  <si>
    <t>Jefferson Co, Colorado</t>
  </si>
  <si>
    <t>Kiowa Co, Colorado</t>
  </si>
  <si>
    <t>Kit Carson Co, Colorado</t>
  </si>
  <si>
    <t>Lake Co, Colorado</t>
  </si>
  <si>
    <t>La Plata Co, Colorado</t>
  </si>
  <si>
    <t>Larimer Co, Colorado</t>
  </si>
  <si>
    <t>Las Animas Co, Colorado</t>
  </si>
  <si>
    <t>Lincoln Co, Colorado</t>
  </si>
  <si>
    <t>Logan Co, Colorado</t>
  </si>
  <si>
    <t>Mesa Co, Colorado</t>
  </si>
  <si>
    <t>Mineral Co, Colorado</t>
  </si>
  <si>
    <t>Moffat Co, Colorado</t>
  </si>
  <si>
    <t>Montezuma Co, Colorado</t>
  </si>
  <si>
    <t>Montrose Co, Colorado</t>
  </si>
  <si>
    <t>Morgan Co, Colorado</t>
  </si>
  <si>
    <t>Otero Co, Colorado</t>
  </si>
  <si>
    <t>Ouray Co, Colorado</t>
  </si>
  <si>
    <t>Park Co, Colorado</t>
  </si>
  <si>
    <t>Phillips Co, Colorado</t>
  </si>
  <si>
    <t>Pitkin Co, Colorado</t>
  </si>
  <si>
    <t>Prowers Co, Colorado</t>
  </si>
  <si>
    <t>Pueblo Co, Colorado</t>
  </si>
  <si>
    <t>Rio Blanco Co, Colorado</t>
  </si>
  <si>
    <t>Rio Grande Co, Colorado</t>
  </si>
  <si>
    <t>Routt Co, Colorado</t>
  </si>
  <si>
    <t>Saguache Co, Colorado</t>
  </si>
  <si>
    <t>San Juan Co, Colorado</t>
  </si>
  <si>
    <t>San Miguel Co, Colorado</t>
  </si>
  <si>
    <t>Sedgwick Co, Colorado</t>
  </si>
  <si>
    <t>Summit Co, Colorado</t>
  </si>
  <si>
    <t>Teller Co, Colorado</t>
  </si>
  <si>
    <t>Washington Co, Colorado</t>
  </si>
  <si>
    <t>Weld Co, Colorado</t>
  </si>
  <si>
    <t>Yuma Co, Colorado</t>
  </si>
  <si>
    <t>Black Hawk Co, Iowa</t>
  </si>
  <si>
    <t>Boone Co, Iowa</t>
  </si>
  <si>
    <t>Harrison Co, Iowa</t>
  </si>
  <si>
    <t>Polk Co, Iowa</t>
  </si>
  <si>
    <t>Pottawattamie Co, Iowa</t>
  </si>
  <si>
    <t>Shelby Co, Iowa</t>
  </si>
  <si>
    <t>Webster Co, Iowa</t>
  </si>
  <si>
    <t>Woodbury Co, Iowa</t>
  </si>
  <si>
    <t>Allen Co, Kansas</t>
  </si>
  <si>
    <t>Anderson Co, Kansas</t>
  </si>
  <si>
    <t>Atchison Co, Kansas</t>
  </si>
  <si>
    <t>Barber Co, Kansas</t>
  </si>
  <si>
    <t>Barton Co, Kansas</t>
  </si>
  <si>
    <t>Bourbon Co, Kansas</t>
  </si>
  <si>
    <t>Brown Co, Kansas</t>
  </si>
  <si>
    <t>Butler Co, Kansas</t>
  </si>
  <si>
    <t>Chase Co, Kansas</t>
  </si>
  <si>
    <t>Chautauqua Co, Kansas</t>
  </si>
  <si>
    <t>Cherokee Co, Kansas</t>
  </si>
  <si>
    <t>Cheyenne Co, Kansas</t>
  </si>
  <si>
    <t>Clark Co, Kansas</t>
  </si>
  <si>
    <t>Clay Co, Kansas</t>
  </si>
  <si>
    <t>Cloud Co, Kansas</t>
  </si>
  <si>
    <t>Coffey Co, Kansas</t>
  </si>
  <si>
    <t>Comanche Co, Kansas</t>
  </si>
  <si>
    <t>Cowley Co, Kansas</t>
  </si>
  <si>
    <t>Crawford Co, Kansas</t>
  </si>
  <si>
    <t>Decatur Co, Kansas</t>
  </si>
  <si>
    <t>Dickinson Co, Kansas</t>
  </si>
  <si>
    <t>Doniphan Co, Kansas</t>
  </si>
  <si>
    <t>Douglas Co, Kansas</t>
  </si>
  <si>
    <t>Edwards Co, Kansas</t>
  </si>
  <si>
    <t>Elk Co, Kansas</t>
  </si>
  <si>
    <t>Ellis Co, Kansas</t>
  </si>
  <si>
    <t>Ellsworth Co, Kansas</t>
  </si>
  <si>
    <t>Finney Co, Kansas</t>
  </si>
  <si>
    <t>Ford Co, Kansas</t>
  </si>
  <si>
    <t>Franklin Co, Kansas</t>
  </si>
  <si>
    <t>Geary Co, Kansas</t>
  </si>
  <si>
    <t>Gove Co, Kansas</t>
  </si>
  <si>
    <t>Graham Co, Kansas</t>
  </si>
  <si>
    <t>Grant Co, Kansas</t>
  </si>
  <si>
    <t>Gray Co, Kansas</t>
  </si>
  <si>
    <t>Greeley Co, Kansas</t>
  </si>
  <si>
    <t>Greenwood Co, Kansas</t>
  </si>
  <si>
    <t>Hamilton Co, Kansas</t>
  </si>
  <si>
    <t>Harper Co, Kansas</t>
  </si>
  <si>
    <t>Harvey Co, Kansas</t>
  </si>
  <si>
    <t>Haskell Co, Kansas</t>
  </si>
  <si>
    <t>Hodgeman Co, Kansas</t>
  </si>
  <si>
    <t>Jackson Co, Kansas</t>
  </si>
  <si>
    <t>Jefferson Co, Kansas</t>
  </si>
  <si>
    <t>Jewell Co, Kansas</t>
  </si>
  <si>
    <t>Johnson Co, Kansas</t>
  </si>
  <si>
    <t>Kearny Co, Kansas</t>
  </si>
  <si>
    <t>Kingman Co, Kansas</t>
  </si>
  <si>
    <t>Kiowa Co, Kansas</t>
  </si>
  <si>
    <t>Labette Co, Kansas</t>
  </si>
  <si>
    <t>Lane Co, Kansas</t>
  </si>
  <si>
    <t>Leavenworth Co, Kansas</t>
  </si>
  <si>
    <t>Lincoln Co, Kansas</t>
  </si>
  <si>
    <t>Linn Co, Kansas</t>
  </si>
  <si>
    <t>Logan Co, Kansas</t>
  </si>
  <si>
    <t>Lyon Co, Kansas</t>
  </si>
  <si>
    <t>McPherson Co, Kansas</t>
  </si>
  <si>
    <t>Marion Co, Kansas</t>
  </si>
  <si>
    <t>Marshall Co, Kansas</t>
  </si>
  <si>
    <t>Meade Co, Kansas</t>
  </si>
  <si>
    <t>Miami Co, Kansas</t>
  </si>
  <si>
    <t>Mitchell Co, Kansas</t>
  </si>
  <si>
    <t>Montgomery Co, Kansas</t>
  </si>
  <si>
    <t>Morris Co, Kansas</t>
  </si>
  <si>
    <t>Morton Co, Kansas</t>
  </si>
  <si>
    <t>Nemaha Co, Kansas</t>
  </si>
  <si>
    <t>Neosho Co, Kansas</t>
  </si>
  <si>
    <t>Ness Co, Kansas</t>
  </si>
  <si>
    <t>Norton Co, Kansas</t>
  </si>
  <si>
    <t>Osage Co, Kansas</t>
  </si>
  <si>
    <t>Osborne Co, Kansas</t>
  </si>
  <si>
    <t>Ottawa Co, Kansas</t>
  </si>
  <si>
    <t>Pawnee Co, Kansas</t>
  </si>
  <si>
    <t>Phillips Co, Kansas</t>
  </si>
  <si>
    <t>Pottawatomie Co, Kansas</t>
  </si>
  <si>
    <t>Pratt Co, Kansas</t>
  </si>
  <si>
    <t>Rawlins Co, Kansas</t>
  </si>
  <si>
    <t>Reno Co, Kansas</t>
  </si>
  <si>
    <t>Republic Co, Kansas</t>
  </si>
  <si>
    <t>Rice Co, Kansas</t>
  </si>
  <si>
    <t>Riley Co, Kansas</t>
  </si>
  <si>
    <t>Rooks Co, Kansas</t>
  </si>
  <si>
    <t>Rush Co, Kansas</t>
  </si>
  <si>
    <t>Russell Co, Kansas</t>
  </si>
  <si>
    <t>Saline Co, Kansas</t>
  </si>
  <si>
    <t>Scott Co, Kansas</t>
  </si>
  <si>
    <t>Sedgwick Co, Kansas</t>
  </si>
  <si>
    <t>Seward Co, Kansas</t>
  </si>
  <si>
    <t>Shawnee Co, Kansas</t>
  </si>
  <si>
    <t>Sheridan Co, Kansas</t>
  </si>
  <si>
    <t>Sherman Co, Kansas</t>
  </si>
  <si>
    <t>Smith Co, Kansas</t>
  </si>
  <si>
    <t>Stafford Co, Kansas</t>
  </si>
  <si>
    <t>Stanton Co, Kansas</t>
  </si>
  <si>
    <t>Stevens Co, Kansas</t>
  </si>
  <si>
    <t>Sumner Co, Kansas</t>
  </si>
  <si>
    <t>Thomas Co, Kansas</t>
  </si>
  <si>
    <t>Trego Co, Kansas</t>
  </si>
  <si>
    <t>Wabaunsee Co, Kansas</t>
  </si>
  <si>
    <t>Wallace Co, Kansas</t>
  </si>
  <si>
    <t>Washington Co, Kansas</t>
  </si>
  <si>
    <t>Wichita Co, Kansas</t>
  </si>
  <si>
    <t>Wilson Co, Kansas</t>
  </si>
  <si>
    <t>Woodson Co, Kansas</t>
  </si>
  <si>
    <t>Wyandotte Co, Kansas</t>
  </si>
  <si>
    <t>Jackson Co, Missouri</t>
  </si>
  <si>
    <t>Adams Co, Nebraska</t>
  </si>
  <si>
    <t>Antelope Co, Nebraska</t>
  </si>
  <si>
    <t>Arthur Co, Nebraska</t>
  </si>
  <si>
    <t>Banner Co, Nebraska</t>
  </si>
  <si>
    <t>Blaine Co, Nebraska</t>
  </si>
  <si>
    <t>Boone Co, Nebraska</t>
  </si>
  <si>
    <t>Box Butte Co, Nebraska</t>
  </si>
  <si>
    <t>Boyd Co, Nebraska</t>
  </si>
  <si>
    <t>Brown Co, Nebraska</t>
  </si>
  <si>
    <t>Buffalo Co, Nebraska</t>
  </si>
  <si>
    <t>Burt Co, Nebraska</t>
  </si>
  <si>
    <t>Butler Co, Nebraska</t>
  </si>
  <si>
    <t>Cass Co, Nebraska</t>
  </si>
  <si>
    <t>Cedar Co, Nebraska</t>
  </si>
  <si>
    <t>Chase Co, Nebraska</t>
  </si>
  <si>
    <t>Cherry Co, Nebraska</t>
  </si>
  <si>
    <t>Cheyenne Co, Nebraska</t>
  </si>
  <si>
    <t>Clay Co, Nebraska</t>
  </si>
  <si>
    <t>Colfax Co, Nebraska</t>
  </si>
  <si>
    <t>Cuming Co, Nebraska</t>
  </si>
  <si>
    <t>Custer Co, Nebraska</t>
  </si>
  <si>
    <t>Dakota Co, Nebraska</t>
  </si>
  <si>
    <t>Dawes Co, Nebraska</t>
  </si>
  <si>
    <t>Dawson Co, Nebraska</t>
  </si>
  <si>
    <t>Deuel Co, Nebraska</t>
  </si>
  <si>
    <t>Dixon Co, Nebraska</t>
  </si>
  <si>
    <t>Dodge Co, Nebraska</t>
  </si>
  <si>
    <t>Douglas Co, Nebraska</t>
  </si>
  <si>
    <t>Dundy Co, Nebraska</t>
  </si>
  <si>
    <t>Fillmore Co, Nebraska</t>
  </si>
  <si>
    <t>Franklin Co, Nebraska</t>
  </si>
  <si>
    <t>Frontier Co, Nebraska</t>
  </si>
  <si>
    <t>Furnas Co, Nebraska</t>
  </si>
  <si>
    <t>Gage Co, Nebraska</t>
  </si>
  <si>
    <t>Garden Co, Nebraska</t>
  </si>
  <si>
    <t>Garfield Co, Nebraska</t>
  </si>
  <si>
    <t>Gosper Co, Nebraska</t>
  </si>
  <si>
    <t>Grant Co, Nebraska</t>
  </si>
  <si>
    <t>Greeley Co, Nebraska</t>
  </si>
  <si>
    <t>Hall Co, Nebraska</t>
  </si>
  <si>
    <t>Hamilton Co, Nebraska</t>
  </si>
  <si>
    <t>Harlan Co, Nebraska</t>
  </si>
  <si>
    <t>Hayes Co, Nebraska</t>
  </si>
  <si>
    <t>Hitchcock Co, Nebraska</t>
  </si>
  <si>
    <t>Holt Co, Nebraska</t>
  </si>
  <si>
    <t>Hooker Co, Nebraska</t>
  </si>
  <si>
    <t>Howard Co, Nebraska</t>
  </si>
  <si>
    <t>Jefferson Co, Nebraska</t>
  </si>
  <si>
    <t>Johnson Co, Nebraska</t>
  </si>
  <si>
    <t>Kearney Co, Nebraska</t>
  </si>
  <si>
    <t>Keith Co, Nebraska</t>
  </si>
  <si>
    <t>Keya Paha Co, Nebraska</t>
  </si>
  <si>
    <t>Kimball Co, Nebraska</t>
  </si>
  <si>
    <t>Knox Co, Nebraska</t>
  </si>
  <si>
    <t>Lancaster Co, Nebraska</t>
  </si>
  <si>
    <t>Lincoln Co, Nebraska</t>
  </si>
  <si>
    <t>Logan Co, Nebraska</t>
  </si>
  <si>
    <t>Loup Co, Nebraska</t>
  </si>
  <si>
    <t>McPherson Co, Nebraska</t>
  </si>
  <si>
    <t>Madison Co, Nebraska</t>
  </si>
  <si>
    <t>Merrick Co, Nebraska</t>
  </si>
  <si>
    <t>Morrill Co, Nebraska</t>
  </si>
  <si>
    <t>Nance Co, Nebraska</t>
  </si>
  <si>
    <t>Nemaha Co, Nebraska</t>
  </si>
  <si>
    <t>Nuckolls Co, Nebraska</t>
  </si>
  <si>
    <t>Otoe Co, Nebraska</t>
  </si>
  <si>
    <t>Pawnee Co, Nebraska</t>
  </si>
  <si>
    <t>Perkins Co, Nebraska</t>
  </si>
  <si>
    <t>Phelps Co, Nebraska</t>
  </si>
  <si>
    <t>Pierce Co, Nebraska</t>
  </si>
  <si>
    <t>Platte Co, Nebraska</t>
  </si>
  <si>
    <t>Polk Co, Nebraska</t>
  </si>
  <si>
    <t>Red Willow Co, Nebraska</t>
  </si>
  <si>
    <t>Richardson Co, Nebraska</t>
  </si>
  <si>
    <t>Rock Co, Nebraska</t>
  </si>
  <si>
    <t>Saline Co, Nebraska</t>
  </si>
  <si>
    <t>Sarpy Co, Nebraska</t>
  </si>
  <si>
    <t>Saunders Co, Nebraska</t>
  </si>
  <si>
    <t>Scotts Bluff Co, Nebraska</t>
  </si>
  <si>
    <t>Seward Co, Nebraska</t>
  </si>
  <si>
    <t>Sheridan Co, Nebraska</t>
  </si>
  <si>
    <t>Sherman Co, Nebraska</t>
  </si>
  <si>
    <t>Sioux Co, Nebraska</t>
  </si>
  <si>
    <t>Stanton Co, Nebraska</t>
  </si>
  <si>
    <t>Thayer Co, Nebraska</t>
  </si>
  <si>
    <t>Thomas Co, Nebraska</t>
  </si>
  <si>
    <t>Thurston Co, Nebraska</t>
  </si>
  <si>
    <t>Valley Co, Nebraska</t>
  </si>
  <si>
    <t>Washington Co, Nebraska</t>
  </si>
  <si>
    <t>Wayne Co, Nebraska</t>
  </si>
  <si>
    <t>Webster Co, Nebraska</t>
  </si>
  <si>
    <t>Wheeler Co, Nebraska</t>
  </si>
  <si>
    <t>York Co, Nebraska</t>
  </si>
  <si>
    <t>Bernalillo Co, New Mexico</t>
  </si>
  <si>
    <t>Santa Fe Co, New Mexico</t>
  </si>
  <si>
    <t>Ramsey Co, North Dakota</t>
  </si>
  <si>
    <t>Adair Co, Oklahoma</t>
  </si>
  <si>
    <t>Alfalfa Co, Oklahoma</t>
  </si>
  <si>
    <t>Atoka Co, Oklahoma</t>
  </si>
  <si>
    <t>Beaver Co, Oklahoma</t>
  </si>
  <si>
    <t>Beckham Co, Oklahoma</t>
  </si>
  <si>
    <t>Blaine Co, Oklahoma</t>
  </si>
  <si>
    <t>Bryan Co, Oklahoma</t>
  </si>
  <si>
    <t>Caddo Co, Oklahoma</t>
  </si>
  <si>
    <t>Canadian Co, Oklahoma</t>
  </si>
  <si>
    <t>Carter Co, Oklahoma</t>
  </si>
  <si>
    <t>Cherokee Co, Oklahoma</t>
  </si>
  <si>
    <t>Choctaw Co, Oklahoma</t>
  </si>
  <si>
    <t>Cimarron Co, Oklahoma</t>
  </si>
  <si>
    <t>Cleveland Co, Oklahoma</t>
  </si>
  <si>
    <t>Coal Co, Oklahoma</t>
  </si>
  <si>
    <t>Comanche Co, Oklahoma</t>
  </si>
  <si>
    <t>Cotton Co, Oklahoma</t>
  </si>
  <si>
    <t>Craig Co, Oklahoma</t>
  </si>
  <si>
    <t>Creek Co, Oklahoma</t>
  </si>
  <si>
    <t>Custer Co, Oklahoma</t>
  </si>
  <si>
    <t>Delaware Co, Oklahoma</t>
  </si>
  <si>
    <t>Dewey Co, Oklahoma</t>
  </si>
  <si>
    <t>Ellis Co, Oklahoma</t>
  </si>
  <si>
    <t>Garfield Co, Oklahoma</t>
  </si>
  <si>
    <t>Garvin Co, Oklahoma</t>
  </si>
  <si>
    <t>Grady Co, Oklahoma</t>
  </si>
  <si>
    <t>Grant Co, Oklahoma</t>
  </si>
  <si>
    <t>Greer Co, Oklahoma</t>
  </si>
  <si>
    <t>Harmon Co, Oklahoma</t>
  </si>
  <si>
    <t>Harper Co, Oklahoma</t>
  </si>
  <si>
    <t>Haskell Co, Oklahoma</t>
  </si>
  <si>
    <t>Hughes Co, Oklahoma</t>
  </si>
  <si>
    <t>Jackson Co, Oklahoma</t>
  </si>
  <si>
    <t>Jefferson Co, Oklahoma</t>
  </si>
  <si>
    <t>Johnston Co, Oklahoma</t>
  </si>
  <si>
    <t>Kay Co, Oklahoma</t>
  </si>
  <si>
    <t>Kingfisher Co, Oklahoma</t>
  </si>
  <si>
    <t>Kiowa Co, Oklahoma</t>
  </si>
  <si>
    <t>Latimer Co, Oklahoma</t>
  </si>
  <si>
    <t>Le Flore Co, Oklahoma</t>
  </si>
  <si>
    <t>Lincoln Co, Oklahoma</t>
  </si>
  <si>
    <t>Logan Co, Oklahoma</t>
  </si>
  <si>
    <t>Love Co, Oklahoma</t>
  </si>
  <si>
    <t>McClain Co, Oklahoma</t>
  </si>
  <si>
    <t>McCurtain Co, Oklahoma</t>
  </si>
  <si>
    <t>McIntosh Co, Oklahoma</t>
  </si>
  <si>
    <t>Major Co, Oklahoma</t>
  </si>
  <si>
    <t>Marshall Co, Oklahoma</t>
  </si>
  <si>
    <t>Mayes Co, Oklahoma</t>
  </si>
  <si>
    <t>Murray Co, Oklahoma</t>
  </si>
  <si>
    <t>Muskogee Co, Oklahoma</t>
  </si>
  <si>
    <t>Noble Co, Oklahoma</t>
  </si>
  <si>
    <t>Nowata Co, Oklahoma</t>
  </si>
  <si>
    <t>Okfuskee Co, Oklahoma</t>
  </si>
  <si>
    <t>Oklahoma Co, Oklahoma</t>
  </si>
  <si>
    <t>Okmulgee Co, Oklahoma</t>
  </si>
  <si>
    <t>Osage Co, Oklahoma</t>
  </si>
  <si>
    <t>Ottawa Co, Oklahoma</t>
  </si>
  <si>
    <t>Pawnee Co, Oklahoma</t>
  </si>
  <si>
    <t>Payne Co, Oklahoma</t>
  </si>
  <si>
    <t>Pittsburg Co, Oklahoma</t>
  </si>
  <si>
    <t>Pontotoc Co, Oklahoma</t>
  </si>
  <si>
    <t>Pottawatomie Co, Oklahoma</t>
  </si>
  <si>
    <t>Pushmataha Co, Oklahoma</t>
  </si>
  <si>
    <t>Roger Mills Co, Oklahoma</t>
  </si>
  <si>
    <t>Rogers Co, Oklahoma</t>
  </si>
  <si>
    <t>Seminole Co, Oklahoma</t>
  </si>
  <si>
    <t>Sequoyah Co, Oklahoma</t>
  </si>
  <si>
    <t>Stephens Co, Oklahoma</t>
  </si>
  <si>
    <t>Texas Co, Oklahoma</t>
  </si>
  <si>
    <t>Tillman Co, Oklahoma</t>
  </si>
  <si>
    <t>Tulsa Co, Oklahoma</t>
  </si>
  <si>
    <t>Wagoner Co, Oklahoma</t>
  </si>
  <si>
    <t>Washington Co, Oklahoma</t>
  </si>
  <si>
    <t>Washita Co, Oklahoma</t>
  </si>
  <si>
    <t>Woods Co, Oklahoma</t>
  </si>
  <si>
    <t>Woodward Co, Oklahoma</t>
  </si>
  <si>
    <t>Brookings Co, South Dakota</t>
  </si>
  <si>
    <t>Monthly Debt vs Validation</t>
  </si>
  <si>
    <t xml:space="preserve">Total Loans With Debt Service Only   </t>
  </si>
  <si>
    <t>Min - Max</t>
  </si>
  <si>
    <t>Contingency Hard Costs - New Only</t>
  </si>
  <si>
    <t>Contingency Hard Costs - Rehab Only</t>
  </si>
  <si>
    <t>Contingency Hard Costs - New and Rehab Combined</t>
  </si>
  <si>
    <t>Debt Coverage Ratio - 15 year Minimum</t>
  </si>
  <si>
    <t>Debt Coverage Ratio - 15 year Maximum</t>
  </si>
  <si>
    <t>Market/Feasibility Study</t>
  </si>
  <si>
    <t>Operating Costs - Yr 1</t>
  </si>
  <si>
    <t>Loan w Debt Serv</t>
  </si>
  <si>
    <t>Loan w/o Debt Serv</t>
  </si>
  <si>
    <t>1990</t>
  </si>
  <si>
    <t>1991</t>
  </si>
  <si>
    <t>1992</t>
  </si>
  <si>
    <t>1993</t>
  </si>
  <si>
    <t>1994</t>
  </si>
  <si>
    <t>1995</t>
  </si>
  <si>
    <t>1996</t>
  </si>
  <si>
    <t>1997</t>
  </si>
  <si>
    <t>1998</t>
  </si>
  <si>
    <t>2013</t>
  </si>
  <si>
    <t>Project County/State:</t>
  </si>
  <si>
    <t>Total Annual Rent</t>
  </si>
  <si>
    <t>Bond Issue Reserve/Bond Issuance</t>
  </si>
  <si>
    <t>EGI % Minimum</t>
  </si>
  <si>
    <t>% of EGI between .85 and 1</t>
  </si>
  <si>
    <t>Permanent Loan Interest Rate - Highest</t>
  </si>
  <si>
    <t xml:space="preserve"> Avg Annual DS =9 mos</t>
  </si>
  <si>
    <t xml:space="preserve">  Cumulative Cash Flow</t>
  </si>
  <si>
    <t xml:space="preserve">     B. Other: </t>
  </si>
  <si>
    <t>(specify)</t>
  </si>
  <si>
    <t>Maricopa Co, Arizona</t>
  </si>
  <si>
    <t>Pima Co, Arizona</t>
  </si>
  <si>
    <t>Los Angeles Co, California</t>
  </si>
  <si>
    <t>Broomfield Co, Colorado</t>
  </si>
  <si>
    <t>Hampden Co, Massachusetts</t>
  </si>
  <si>
    <t>Eaton Co, Michigan</t>
  </si>
  <si>
    <t>2014</t>
  </si>
  <si>
    <t>Replacement Reserves (capitalized)</t>
  </si>
  <si>
    <t>Max $350 per unit</t>
  </si>
  <si>
    <t>RepRes per Unit</t>
  </si>
  <si>
    <t>Service Income</t>
  </si>
  <si>
    <t>Service Expense</t>
  </si>
  <si>
    <t xml:space="preserve">    Total Service Expenses</t>
  </si>
  <si>
    <t>Is this considered a Supportive Service Type Facility?</t>
  </si>
  <si>
    <t>Are any service expenses listed on the Housing Pro Forma?</t>
  </si>
  <si>
    <t>Services Pro Forma</t>
  </si>
  <si>
    <t>Housing Pro Forma</t>
  </si>
  <si>
    <t>Construction Loan Interest Rate- Maximum</t>
  </si>
  <si>
    <t xml:space="preserve"> INCOME</t>
  </si>
  <si>
    <t xml:space="preserve"> SERVICE EXPENSES</t>
  </si>
  <si>
    <t xml:space="preserve"> ANNUAL DEBT SERVICE</t>
  </si>
  <si>
    <t xml:space="preserve"> CASH FLOW</t>
  </si>
  <si>
    <t>Total Service Income</t>
  </si>
  <si>
    <t>NET SERVICE INCOME</t>
  </si>
  <si>
    <t xml:space="preserve"> D. Other Income: Rental Assistance</t>
  </si>
  <si>
    <t xml:space="preserve">     G. Gross Income   </t>
  </si>
  <si>
    <t xml:space="preserve">     H. Less Vacancy</t>
  </si>
  <si>
    <t xml:space="preserve">     J. Audit</t>
  </si>
  <si>
    <t xml:space="preserve">     I. Accounting</t>
  </si>
  <si>
    <t xml:space="preserve">     R. Pest Control</t>
  </si>
  <si>
    <t>7. DEFERRED DEVELOPER REPAY</t>
  </si>
  <si>
    <t xml:space="preserve">Owner Equity </t>
  </si>
  <si>
    <t>Deferred Developer Fee</t>
  </si>
  <si>
    <t>Deferred Developer Fee Repayment</t>
  </si>
  <si>
    <t>Sources of Funds DDF</t>
  </si>
  <si>
    <t>Total Operating Expenses</t>
  </si>
  <si>
    <t>Total Effective Gross Income (EGI)</t>
  </si>
  <si>
    <t>PUPM Yr1</t>
  </si>
  <si>
    <t xml:space="preserve">    Operating Exp+Reserves/EGI</t>
  </si>
  <si>
    <t>Proposed Assisted Share of Rent</t>
  </si>
  <si>
    <t>Replacement Reserves (Min and Max per unit)</t>
  </si>
  <si>
    <t>$250 - $500 per unit annually</t>
  </si>
  <si>
    <t>Project Information Worksheet</t>
  </si>
  <si>
    <t>Project Type:</t>
  </si>
  <si>
    <t>Project is Supportive Service:</t>
  </si>
  <si>
    <t>Project County:</t>
  </si>
  <si>
    <t>Project State:</t>
  </si>
  <si>
    <t>Tenants Pay Electricity:</t>
  </si>
  <si>
    <t>Tenants Pay Gas:</t>
  </si>
  <si>
    <t>Tenants Pay Water/Sewer:</t>
  </si>
  <si>
    <t>Project Receives Rental Assistance:</t>
  </si>
  <si>
    <t>Includes Non-Residential Space:</t>
  </si>
  <si>
    <t>Type of AHP Funds Requested:</t>
  </si>
  <si>
    <t>Other: (specify)</t>
  </si>
  <si>
    <t>Non-Residential bldg floor area (Sq Ft.)</t>
  </si>
  <si>
    <t>Total Budget Amount</t>
  </si>
  <si>
    <t>Non- Residential</t>
  </si>
  <si>
    <t>Non-Residential Costs</t>
  </si>
  <si>
    <t>Total Development Costs</t>
  </si>
  <si>
    <t>Residential Costs</t>
  </si>
  <si>
    <t>Residential Permanent Financing</t>
  </si>
  <si>
    <t>Non-Residential Permanent Financing</t>
  </si>
  <si>
    <t>Total Non - Residential Sources</t>
  </si>
  <si>
    <t>Total Residential Sources</t>
  </si>
  <si>
    <t>Total Construction Sources</t>
  </si>
  <si>
    <t xml:space="preserve">     S. Telephone/Internet</t>
  </si>
  <si>
    <t xml:space="preserve">     T. Other:</t>
  </si>
  <si>
    <t xml:space="preserve">     U. Other:  </t>
  </si>
  <si>
    <t xml:space="preserve">     V. Real Estate Taxes</t>
  </si>
  <si>
    <t xml:space="preserve">     W. Local &amp; State Assessments</t>
  </si>
  <si>
    <t xml:space="preserve">      X. Other:</t>
  </si>
  <si>
    <t>Identifier</t>
  </si>
  <si>
    <t>Name</t>
  </si>
  <si>
    <t>Rental</t>
  </si>
  <si>
    <t>Use Type</t>
  </si>
  <si>
    <t>City</t>
  </si>
  <si>
    <t>County</t>
  </si>
  <si>
    <t>VLI</t>
  </si>
  <si>
    <t>AHP Asst Units</t>
  </si>
  <si>
    <t>Units &lt;= 30%</t>
  </si>
  <si>
    <t>Units/Bldg</t>
  </si>
  <si>
    <t>Size of Site Sq. Ft</t>
  </si>
  <si>
    <t>Subsidy requested</t>
  </si>
  <si>
    <t>LIHTC Equity</t>
  </si>
  <si>
    <t>Owner Equity</t>
  </si>
  <si>
    <t>Defered Developer Fee</t>
  </si>
  <si>
    <t>Total Grants (Not Including AHP)</t>
  </si>
  <si>
    <t>Vacancy Rate 1</t>
  </si>
  <si>
    <t>Vacancy Rate 2-15</t>
  </si>
  <si>
    <t>Non rent Revenue</t>
  </si>
  <si>
    <t xml:space="preserve">  Rental Assistance (lump sum)</t>
  </si>
  <si>
    <t xml:space="preserve">     T. Other:  (specify)</t>
  </si>
  <si>
    <t xml:space="preserve">     U. Real Estate Taxes (validate)</t>
  </si>
  <si>
    <t xml:space="preserve">     W. Other:  (specify)</t>
  </si>
  <si>
    <t>Total Opex</t>
  </si>
  <si>
    <t xml:space="preserve">     B. Other:  (specify)</t>
  </si>
  <si>
    <t>7. Deferred Dev Fee Repay</t>
  </si>
  <si>
    <t>CASH FLOW</t>
  </si>
  <si>
    <t>DCR Min (Debt Project)</t>
  </si>
  <si>
    <t>DCR Max (Debt Project)</t>
  </si>
  <si>
    <t xml:space="preserve"> Operating Exp+Reserves/EGI year one (No Debt)</t>
  </si>
  <si>
    <t xml:space="preserve"> Operating Exp+Reserves/EGI Min (No Debt)</t>
  </si>
  <si>
    <t xml:space="preserve"> Operating Exp+Reserves/EGI Max (No Debt)</t>
  </si>
  <si>
    <t>OPEX Per Unit</t>
  </si>
  <si>
    <t>Cumulative Cash Flow (before DDF repay)</t>
  </si>
  <si>
    <t>Average Cash Flow (before DDF repay)</t>
  </si>
  <si>
    <t>Additional pmt to cover subsidy</t>
  </si>
  <si>
    <t>Cash Flow/AMT needed to cover subsidy</t>
  </si>
  <si>
    <t>CF - DDF/AMT needed to cover Subsidy</t>
  </si>
  <si>
    <t>Developer Fee-DDF/Unit</t>
  </si>
  <si>
    <t>Const Cost/SqFt</t>
  </si>
  <si>
    <t>Const Cost/unit</t>
  </si>
  <si>
    <t>Debt/Unit</t>
  </si>
  <si>
    <t>Net TC Pricing (Eq/EB)</t>
  </si>
  <si>
    <t>Total Residential Cost/Unit</t>
  </si>
  <si>
    <t>Total Residential Cost per SqFt</t>
  </si>
  <si>
    <t>Subsidy/Total Residential Cost</t>
  </si>
  <si>
    <t>Average DDF Repayment</t>
  </si>
  <si>
    <t>Construction Type:</t>
  </si>
  <si>
    <t>Supportive Service</t>
  </si>
  <si>
    <t>Furniture, Fixtures, and Equipment (FF&amp;E)</t>
  </si>
  <si>
    <t xml:space="preserve">     X. Other:  (specify)</t>
  </si>
  <si>
    <t>Amortization Term for loan</t>
  </si>
  <si>
    <t>Total Development Cost per SqFt</t>
  </si>
  <si>
    <t>Total Development Cost/Unit</t>
  </si>
  <si>
    <t>Annual Replacement reserves per unit</t>
  </si>
  <si>
    <t>Project Type</t>
  </si>
  <si>
    <t>Do tenants pay utilities?</t>
  </si>
  <si>
    <t>Tan shaded cells include formulas that will automatically calculate but can be overwritten.</t>
  </si>
  <si>
    <t>Project includes Low Income Housing Tax Credits:</t>
  </si>
  <si>
    <t>Total Residential Costs</t>
  </si>
  <si>
    <t>Subsidy Per Unit (SPU)</t>
  </si>
  <si>
    <t>Loan Fees (Origination, Discount Points, etc)</t>
  </si>
  <si>
    <t>Loan Fee %</t>
  </si>
  <si>
    <t>Contractor Identity of Interest:</t>
  </si>
  <si>
    <t xml:space="preserve">General Contractor Overhead  </t>
  </si>
  <si>
    <t xml:space="preserve">General Contractor Profit  </t>
  </si>
  <si>
    <t>Tenants Pay Gas</t>
  </si>
  <si>
    <t>Tenants Pay Electricity</t>
  </si>
  <si>
    <t>Tenants Pay Water/Sewer</t>
  </si>
  <si>
    <t>Monthly Debt Service</t>
  </si>
  <si>
    <t>Gross floor area of community and amenities (Sq Ft.)</t>
  </si>
  <si>
    <t>Reserve Escalator:</t>
  </si>
  <si>
    <t>2015</t>
  </si>
  <si>
    <t>Tab</t>
  </si>
  <si>
    <t>Sources of Funds</t>
  </si>
  <si>
    <t>Explanation</t>
  </si>
  <si>
    <t>Conditional Formatting and Data Validation to limit AHP Subsidy to $500,000</t>
  </si>
  <si>
    <t>2016 Implementation Plan reduced maximum subsidy from $750,000 to $500,000</t>
  </si>
  <si>
    <t>Developer Fee includes a 5% increase if Colorado Projects have 15% of the units at or below 30% AMI.</t>
  </si>
  <si>
    <t>Added instruction in cell B17 for Colorado Projects to reflect homeless units in &lt;=30% AMI category.</t>
  </si>
  <si>
    <t>Project Information</t>
  </si>
  <si>
    <t>Phone number previously read 800-571-8155</t>
  </si>
  <si>
    <t>Conditional Formatting to identify Contractor Fees above Guideline</t>
  </si>
  <si>
    <t>Developer Fee above guideline is identified by red. This will be consistent.</t>
  </si>
  <si>
    <t>Loan Type</t>
  </si>
  <si>
    <t>Remove the Status and Date Columns</t>
  </si>
  <si>
    <t>These columns are no longer needed as all source documentation is now required for review.</t>
  </si>
  <si>
    <t>Added a column for Loan Type and updated validation equation to account for the type of loan.</t>
  </si>
  <si>
    <t>Identification of Loan Type will assist with the feasibility review. The equation update will identify what the payment should be dependent on loan type.</t>
  </si>
  <si>
    <t>Loan</t>
  </si>
  <si>
    <t xml:space="preserve">Monthly Debt Service </t>
  </si>
  <si>
    <t>Development Budget</t>
  </si>
  <si>
    <t>Changed "Permanent Loan Origination Fee" to "Permanent Loan Fees"</t>
  </si>
  <si>
    <t>This field is used to determine if loan fees on the development budget are consistent with the sources of funds. Changing the name should decrease the likelihood of loan fees being listed elsewhere.</t>
  </si>
  <si>
    <t xml:space="preserve">The loan fees column sums and compares the total loan fees to the loan fees on the development budget. If it doesn't match, an error message appears. </t>
  </si>
  <si>
    <t>Makes the workbook more user friendly and the review of loan fees automatic.</t>
  </si>
  <si>
    <t>Reduced decimal places on the source amounts to 0.</t>
  </si>
  <si>
    <t xml:space="preserve">The development budget does not allow for any decimal places so this change keeps the FW consistent. </t>
  </si>
  <si>
    <t>Updated the formula in cell B9 to eliminate the #NUM error.</t>
  </si>
  <si>
    <t xml:space="preserve">Makes the workbook more accurate. </t>
  </si>
  <si>
    <t>Added a table to capture site costs and compare it to the development budget.</t>
  </si>
  <si>
    <t xml:space="preserve">Assists with the cost reasonableness review. </t>
  </si>
  <si>
    <t>Added question to determine if bids were obtained to support rehab/site work costs</t>
  </si>
  <si>
    <t>Added conditional formatting to flag land improvement costs if New Construction and Land Improvement subtotal is $0.</t>
  </si>
  <si>
    <t>Makes the workbook more user friendly and assists with cost reasonableness review.</t>
  </si>
  <si>
    <t>Assists with cost reasonableness review.</t>
  </si>
  <si>
    <t>Consultant Fees</t>
  </si>
  <si>
    <t>Updated Calculations for each state to remove non-residential costs from calculation</t>
  </si>
  <si>
    <t>Eligible basis is reduced by the non-residential costs so the developer fee should only look at residential costs.</t>
  </si>
  <si>
    <t xml:space="preserve">Added rows in the developer fee section for maximum dollar amount of developer fees and allowed a comparison of consultant fees. </t>
  </si>
  <si>
    <t>The Kansas QAP has a dollar amount per unit allowance this year, and the FW did not previously calculate that. Kansas also has a separate allowance for consultant fees so the worksheet now calculates that separately.</t>
  </si>
  <si>
    <t>New Construction Site Work</t>
  </si>
  <si>
    <t>Cost Reasonableness reviewer does not use the table during the review so the table is not necessary.</t>
  </si>
  <si>
    <t xml:space="preserve">Updated calculations for each state that changed guidelines from previous year. </t>
  </si>
  <si>
    <t>The AHP guidelines are based on the state's current QAP.</t>
  </si>
  <si>
    <t>Pro Forma Issues</t>
  </si>
  <si>
    <t>Development Budget Issues</t>
  </si>
  <si>
    <t>Sources of Funds Issues</t>
  </si>
  <si>
    <t xml:space="preserve">Added rows in the "Issues" table to indicate what tab the following issues pertain to. </t>
  </si>
  <si>
    <t>This update makes the workbook more user friendly and helps the user more easily identify what is causing the issue.</t>
  </si>
  <si>
    <t>Removed the "Staff Review" column</t>
  </si>
  <si>
    <t>The reviews are completed and approved electronically for all steps of the Project's lifecycle so it is no longer necessary.</t>
  </si>
  <si>
    <t>Removed the conditional formatting to make the Non-Residential column inaccessible if Non-Residential costs are not supported by bids.</t>
  </si>
  <si>
    <t>There are instances where a pro ration is not applicable, and the applicant would need the ability to override the non-residential costs.</t>
  </si>
  <si>
    <t>Removed the table for Detail New Construction Costs and renamed the tab New Construction Site Work.</t>
  </si>
  <si>
    <t>Changed phone number in cell A23 to read 866-571-8155</t>
  </si>
  <si>
    <t>Updated the loan interest rate guidelines.</t>
  </si>
  <si>
    <t>Received email 2/26/16 from Bobbi Shinn with the CHP rates effective on that day.</t>
  </si>
  <si>
    <t>Other County/State</t>
  </si>
  <si>
    <t>2016</t>
  </si>
  <si>
    <t>Income Limits</t>
  </si>
  <si>
    <t xml:space="preserve">2016 Income Limits became available 3/28/2016. </t>
  </si>
  <si>
    <t>Updated formulas and name ranges to incorporate 2016 income limits.</t>
  </si>
  <si>
    <t>Added 2016 Income Limits in column AC.</t>
  </si>
  <si>
    <t>fundsSources[0].description</t>
  </si>
  <si>
    <t>Housing</t>
  </si>
  <si>
    <t>fundsSources[0].descriptionCode.code</t>
  </si>
  <si>
    <t>fundsSources[0].amount</t>
  </si>
  <si>
    <t>fundsSources[0].rate</t>
  </si>
  <si>
    <t>fundsSources[0].term</t>
  </si>
  <si>
    <t>fundsSources[0].isApproved</t>
  </si>
  <si>
    <t>fundsSources[0].housingCommercial</t>
  </si>
  <si>
    <t>fundsSources[0].amortPeriod</t>
  </si>
  <si>
    <t>fundsSources[0].annualDebtSvc</t>
  </si>
  <si>
    <t>fundsSources[0].hardDebt</t>
  </si>
  <si>
    <t>fundsSources[1].description</t>
  </si>
  <si>
    <t>fundsSources[1].descriptionCode.code</t>
  </si>
  <si>
    <t>fundsSources[1].amount</t>
  </si>
  <si>
    <t>fundsSources[1].rate</t>
  </si>
  <si>
    <t>fundsSources[1].term</t>
  </si>
  <si>
    <t>fundsSources[1].isApproved</t>
  </si>
  <si>
    <t>fundsSources[1].housingCommercial</t>
  </si>
  <si>
    <t>fundsSources[1].amortPeriod</t>
  </si>
  <si>
    <t>fundsSources[1].annualDebtSvc</t>
  </si>
  <si>
    <t>fundsSources[1].hardDebt</t>
  </si>
  <si>
    <t>fundsSources[2].description</t>
  </si>
  <si>
    <t>fundsSources[2].descriptionCode.code</t>
  </si>
  <si>
    <t>fundsSources[2].amount</t>
  </si>
  <si>
    <t>fundsSources[2].rate</t>
  </si>
  <si>
    <t>fundsSources[2].term</t>
  </si>
  <si>
    <t>fundsSources[2].isApproved</t>
  </si>
  <si>
    <t>fundsSources[2].housingCommercial</t>
  </si>
  <si>
    <t>fundsSources[2].amortPeriod</t>
  </si>
  <si>
    <t>fundsSources[2].annualDebtSvc</t>
  </si>
  <si>
    <t>fundsSources[2].hardDebt</t>
  </si>
  <si>
    <t>fundsSources[3].description</t>
  </si>
  <si>
    <t>fundsSources[3].descriptionCode.code</t>
  </si>
  <si>
    <t>fundsSources[3].amount</t>
  </si>
  <si>
    <t>fundsSources[3].rate</t>
  </si>
  <si>
    <t>fundsSources[3].term</t>
  </si>
  <si>
    <t>fundsSources[3].isApproved</t>
  </si>
  <si>
    <t>fundsSources[3].housingCommercial</t>
  </si>
  <si>
    <t>fundsSources[3].amortPeriod</t>
  </si>
  <si>
    <t>fundsSources[3].annualDebtSvc</t>
  </si>
  <si>
    <t>fundsSources[3].hardDebt</t>
  </si>
  <si>
    <t>fundsSources[4].description</t>
  </si>
  <si>
    <t>fundsSources[4].descriptionCode.code</t>
  </si>
  <si>
    <t>fundsSources[4].amount</t>
  </si>
  <si>
    <t>fundsSources[4].rate</t>
  </si>
  <si>
    <t>fundsSources[4].term</t>
  </si>
  <si>
    <t>fundsSources[4].isApproved</t>
  </si>
  <si>
    <t>fundsSources[4].housingCommercial</t>
  </si>
  <si>
    <t>fundsSources[4].amortPeriod</t>
  </si>
  <si>
    <t>fundsSources[4].annualDebtSvc</t>
  </si>
  <si>
    <t>fundsSources[4].hardDebt</t>
  </si>
  <si>
    <t>fundsSources[5].description</t>
  </si>
  <si>
    <t>fundsSources[5].descriptionCode.code</t>
  </si>
  <si>
    <t>fundsSources[5].amount</t>
  </si>
  <si>
    <t>fundsSources[5].rate</t>
  </si>
  <si>
    <t>fundsSources[5].term</t>
  </si>
  <si>
    <t>fundsSources[5].isApproved</t>
  </si>
  <si>
    <t>fundsSources[5].housingCommercial</t>
  </si>
  <si>
    <t>fundsSources[5].amortPeriod</t>
  </si>
  <si>
    <t>fundsSources[5].annualDebtSvc</t>
  </si>
  <si>
    <t>fundsSources[5].hardDebt</t>
  </si>
  <si>
    <t>fundsSources[6].description</t>
  </si>
  <si>
    <t>fundsSources[6].descriptionCode.code</t>
  </si>
  <si>
    <t>fundsSources[6].amount</t>
  </si>
  <si>
    <t>fundsSources[6].rate</t>
  </si>
  <si>
    <t>fundsSources[6].term</t>
  </si>
  <si>
    <t>fundsSources[6].isApproved</t>
  </si>
  <si>
    <t>fundsSources[6].housingCommercial</t>
  </si>
  <si>
    <t>fundsSources[6].amortPeriod</t>
  </si>
  <si>
    <t>fundsSources[6].annualDebtSvc</t>
  </si>
  <si>
    <t>fundsSources[6].hardDebt</t>
  </si>
  <si>
    <t>fundsSources[7].description</t>
  </si>
  <si>
    <t>fundsSources[7].descriptionCode.code</t>
  </si>
  <si>
    <t>fundsSources[7].amount</t>
  </si>
  <si>
    <t>fundsSources[7].rate</t>
  </si>
  <si>
    <t>fundsSources[7].term</t>
  </si>
  <si>
    <t>fundsSources[7].isApproved</t>
  </si>
  <si>
    <t>fundsSources[7].housingCommercial</t>
  </si>
  <si>
    <t>fundsSources[7].amortPeriod</t>
  </si>
  <si>
    <t>fundsSources[7].annualDebtSvc</t>
  </si>
  <si>
    <t>fundsSources[7].hardDebt</t>
  </si>
  <si>
    <t>fundsSources[8].description</t>
  </si>
  <si>
    <t>fundsSources[8].descriptionCode.code</t>
  </si>
  <si>
    <t>fundsSources[8].amount</t>
  </si>
  <si>
    <t>fundsSources[8].rate</t>
  </si>
  <si>
    <t>fundsSources[8].term</t>
  </si>
  <si>
    <t>fundsSources[8].isApproved</t>
  </si>
  <si>
    <t>fundsSources[8].housingCommercial</t>
  </si>
  <si>
    <t>fundsSources[8].amortPeriod</t>
  </si>
  <si>
    <t>fundsSources[8].annualDebtSvc</t>
  </si>
  <si>
    <t>fundsSources[8].hardDebt</t>
  </si>
  <si>
    <t>fundsSources[9].description</t>
  </si>
  <si>
    <t>fundsSources[9].descriptionCode.code</t>
  </si>
  <si>
    <t>fundsSources[9].amount</t>
  </si>
  <si>
    <t>fundsSources[9].rate</t>
  </si>
  <si>
    <t>fundsSources[9].term</t>
  </si>
  <si>
    <t>fundsSources[9].isApproved</t>
  </si>
  <si>
    <t>fundsSources[9].housingCommercial</t>
  </si>
  <si>
    <t>fundsSources[9].amortPeriod</t>
  </si>
  <si>
    <t>fundsSources[9].annualDebtSvc</t>
  </si>
  <si>
    <t>fundsSources[9].hardDebt</t>
  </si>
  <si>
    <t>fundsSources[10].description</t>
  </si>
  <si>
    <t>fundsSources[10].descriptionCode.code</t>
  </si>
  <si>
    <t>fundsSources[10].amount</t>
  </si>
  <si>
    <t>fundsSources[10].rate</t>
  </si>
  <si>
    <t>fundsSources[10].term</t>
  </si>
  <si>
    <t>fundsSources[10].isApproved</t>
  </si>
  <si>
    <t>fundsSources[10].housingCommercial</t>
  </si>
  <si>
    <t>fundsSources[10].amortPeriod</t>
  </si>
  <si>
    <t>fundsSources[10].annualDebtSvc</t>
  </si>
  <si>
    <t>fundsSources[10].hardDebt</t>
  </si>
  <si>
    <t>fundsSources[11].description</t>
  </si>
  <si>
    <t>fundsSources[11].descriptionCode.code</t>
  </si>
  <si>
    <t>fundsSources[11].amount</t>
  </si>
  <si>
    <t>fundsSources[11].rate</t>
  </si>
  <si>
    <t>fundsSources[11].term</t>
  </si>
  <si>
    <t>fundsSources[11].isApproved</t>
  </si>
  <si>
    <t>fundsSources[11].housingCommercial</t>
  </si>
  <si>
    <t>fundsSources[11].amortPeriod</t>
  </si>
  <si>
    <t>fundsSources[11].annualDebtSvc</t>
  </si>
  <si>
    <t>fundsSources[11].hardDebt</t>
  </si>
  <si>
    <t>fundsSources[12].description</t>
  </si>
  <si>
    <t>fundsSources[12].descriptionCode.code</t>
  </si>
  <si>
    <t>fundsSources[12].amount</t>
  </si>
  <si>
    <t>fundsSources[12].rate</t>
  </si>
  <si>
    <t>fundsSources[12].term</t>
  </si>
  <si>
    <t>fundsSources[12].isApproved</t>
  </si>
  <si>
    <t>fundsSources[12].housingCommercial</t>
  </si>
  <si>
    <t>fundsSources[12].amortPeriod</t>
  </si>
  <si>
    <t>fundsSources[12].annualDebtSvc</t>
  </si>
  <si>
    <t>fundsSources[12].hardDebt</t>
  </si>
  <si>
    <t>fundsSources[13].description</t>
  </si>
  <si>
    <t>fundsSources[13].descriptionCode.code</t>
  </si>
  <si>
    <t>fundsSources[13].amount</t>
  </si>
  <si>
    <t>fundsSources[13].rate</t>
  </si>
  <si>
    <t>fundsSources[13].term</t>
  </si>
  <si>
    <t>fundsSources[13].isApproved</t>
  </si>
  <si>
    <t>fundsSources[13].housingCommercial</t>
  </si>
  <si>
    <t>fundsSources[13].amortPeriod</t>
  </si>
  <si>
    <t>fundsSources[13].annualDebtSvc</t>
  </si>
  <si>
    <t>fundsSources[13].hardDebt</t>
  </si>
  <si>
    <t>fundsSources[14].description</t>
  </si>
  <si>
    <t>Non-Housing</t>
  </si>
  <si>
    <t>fundsSources[14].descriptionCode.code</t>
  </si>
  <si>
    <t>fundsSources[14].amount</t>
  </si>
  <si>
    <t>fundsSources[14].rate</t>
  </si>
  <si>
    <t>fundsSources[14].term</t>
  </si>
  <si>
    <t>fundsSources[14].isApproved</t>
  </si>
  <si>
    <t>fundsSources[14].housingCommercial</t>
  </si>
  <si>
    <t>fundsSources[14].amortPeriod</t>
  </si>
  <si>
    <t>fundsSources[14].annualDebtSvc</t>
  </si>
  <si>
    <t>fundsSources[14].hardDebt</t>
  </si>
  <si>
    <t>fundsSources[15].description</t>
  </si>
  <si>
    <t>fundsSources[15].descriptionCode.code</t>
  </si>
  <si>
    <t>fundsSources[15].amount</t>
  </si>
  <si>
    <t>fundsSources[15].rate</t>
  </si>
  <si>
    <t>fundsSources[15].term</t>
  </si>
  <si>
    <t>fundsSources[15].isApproved</t>
  </si>
  <si>
    <t>fundsSources[15].housingCommercial</t>
  </si>
  <si>
    <t>fundsSources[15].amortPeriod</t>
  </si>
  <si>
    <t>fundsSources[15].annualDebtSvc</t>
  </si>
  <si>
    <t>fundsSources[15].hardDebt</t>
  </si>
  <si>
    <t>fundsSources[16].description</t>
  </si>
  <si>
    <t>fundsSources[16].descriptionCode.code</t>
  </si>
  <si>
    <t>fundsSources[16].amount</t>
  </si>
  <si>
    <t>fundsSources[16].rate</t>
  </si>
  <si>
    <t>fundsSources[16].term</t>
  </si>
  <si>
    <t>fundsSources[16].isApproved</t>
  </si>
  <si>
    <t>fundsSources[16].housingCommercial</t>
  </si>
  <si>
    <t>fundsSources[16].amortPeriod</t>
  </si>
  <si>
    <t>fundsSources[16].annualDebtSvc</t>
  </si>
  <si>
    <t>fundsSources[16].hardDebt</t>
  </si>
  <si>
    <t>fundsSources[17].description</t>
  </si>
  <si>
    <t>fundsSources[17].descriptionCode.code</t>
  </si>
  <si>
    <t>fundsSources[17].amount</t>
  </si>
  <si>
    <t>fundsSources[17].rate</t>
  </si>
  <si>
    <t>fundsSources[17].term</t>
  </si>
  <si>
    <t>fundsSources[17].isApproved</t>
  </si>
  <si>
    <t>fundsSources[17].housingCommercial</t>
  </si>
  <si>
    <t>fundsSources[17].amortPeriod</t>
  </si>
  <si>
    <t>fundsSources[17].annualDebtSvc</t>
  </si>
  <si>
    <t>fundsSources[17].hardDebt</t>
  </si>
  <si>
    <t>fundsSources[18].description</t>
  </si>
  <si>
    <t>fundsSources[18].descriptionCode.code</t>
  </si>
  <si>
    <t>fundsSources[18].amount</t>
  </si>
  <si>
    <t>fundsSources[18].rate</t>
  </si>
  <si>
    <t>fundsSources[18].term</t>
  </si>
  <si>
    <t>fundsSources[18].isApproved</t>
  </si>
  <si>
    <t>fundsSources[18].housingCommercial</t>
  </si>
  <si>
    <t>fundsSources[18].amortPeriod</t>
  </si>
  <si>
    <t>fundsSources[18].annualDebtSvc</t>
  </si>
  <si>
    <t>fundsSources[18].hardDebt</t>
  </si>
  <si>
    <t>fundsSources[19].description</t>
  </si>
  <si>
    <t>fundsSources[19].descriptionCode.code</t>
  </si>
  <si>
    <t>fundsSources[19].amount</t>
  </si>
  <si>
    <t>fundsSources[19].rate</t>
  </si>
  <si>
    <t>fundsSources[19].term</t>
  </si>
  <si>
    <t>fundsSources[19].isApproved</t>
  </si>
  <si>
    <t>fundsSources[19].housingCommercial</t>
  </si>
  <si>
    <t>fundsSources[19].amortPeriod</t>
  </si>
  <si>
    <t>fundsSources[19].annualDebtSvc</t>
  </si>
  <si>
    <t>fundsSources[19].hardDebt</t>
  </si>
  <si>
    <t>fundsSources[20].description</t>
  </si>
  <si>
    <t>fundsSources[20].descriptionCode.code</t>
  </si>
  <si>
    <t>fundsSources[20].amount</t>
  </si>
  <si>
    <t>fundsSources[20].rate</t>
  </si>
  <si>
    <t>fundsSources[20].term</t>
  </si>
  <si>
    <t>fundsSources[20].isApproved</t>
  </si>
  <si>
    <t>fundsSources[20].housingCommercial</t>
  </si>
  <si>
    <t>fundsSources[20].amortPeriod</t>
  </si>
  <si>
    <t>fundsSources[20].annualDebtSvc</t>
  </si>
  <si>
    <t>fundsSources[20].hardDebt</t>
  </si>
  <si>
    <t>fundsSources[21].description</t>
  </si>
  <si>
    <t>fundsSources[21].descriptionCode.code</t>
  </si>
  <si>
    <t>fundsSources[21].amount</t>
  </si>
  <si>
    <t>fundsSources[21].rate</t>
  </si>
  <si>
    <t>fundsSources[21].term</t>
  </si>
  <si>
    <t>fundsSources[21].isApproved</t>
  </si>
  <si>
    <t>fundsSources[21].housingCommercial</t>
  </si>
  <si>
    <t>fundsSources[21].amortPeriod</t>
  </si>
  <si>
    <t>fundsSources[21].annualDebtSvc</t>
  </si>
  <si>
    <t>fundsSources[21].hardDebt</t>
  </si>
  <si>
    <t>fundsSources[22].description</t>
  </si>
  <si>
    <t>fundsSources[22].descriptionCode.code</t>
  </si>
  <si>
    <t>fundsSources[22].amount</t>
  </si>
  <si>
    <t>fundsSources[22].rate</t>
  </si>
  <si>
    <t>fundsSources[22].term</t>
  </si>
  <si>
    <t>fundsSources[22].isApproved</t>
  </si>
  <si>
    <t>fundsSources[22].housingCommercial</t>
  </si>
  <si>
    <t>fundsSources[22].amortPeriod</t>
  </si>
  <si>
    <t>fundsSources[22].annualDebtSvc</t>
  </si>
  <si>
    <t>fundsSources[22].hardDebt</t>
  </si>
  <si>
    <t>fundsSources[23].description</t>
  </si>
  <si>
    <t>fundsSources[23].descriptionCode.code</t>
  </si>
  <si>
    <t>fundsSources[23].amount</t>
  </si>
  <si>
    <t>fundsSources[23].rate</t>
  </si>
  <si>
    <t>fundsSources[23].term</t>
  </si>
  <si>
    <t>fundsSources[23].isApproved</t>
  </si>
  <si>
    <t>fundsSources[23].housingCommercial</t>
  </si>
  <si>
    <t>fundsSources[23].amortPeriod</t>
  </si>
  <si>
    <t>fundsSources[23].annualDebtSvc</t>
  </si>
  <si>
    <t>fundsSources[23].hardDebt</t>
  </si>
  <si>
    <t>fundsSources[24].description</t>
  </si>
  <si>
    <t>fundsSources[24].descriptionCode.code</t>
  </si>
  <si>
    <t>fundsSources[24].amount</t>
  </si>
  <si>
    <t>fundsSources[24].rate</t>
  </si>
  <si>
    <t>fundsSources[24].term</t>
  </si>
  <si>
    <t>fundsSources[24].isApproved</t>
  </si>
  <si>
    <t>fundsSources[24].housingCommercial</t>
  </si>
  <si>
    <t>fundsSources[24].amortPeriod</t>
  </si>
  <si>
    <t>fundsSources[24].annualDebtSvc</t>
  </si>
  <si>
    <t>fundsSources[24].hardDebt</t>
  </si>
  <si>
    <t>fundsSources[25].description</t>
  </si>
  <si>
    <t>fundsSources[25].descriptionCode.code</t>
  </si>
  <si>
    <t>fundsSources[25].amount</t>
  </si>
  <si>
    <t>fundsSources[25].rate</t>
  </si>
  <si>
    <t>fundsSources[25].term</t>
  </si>
  <si>
    <t>fundsSources[25].isApproved</t>
  </si>
  <si>
    <t>fundsSources[25].housingCommercial</t>
  </si>
  <si>
    <t>fundsSources[25].amortPeriod</t>
  </si>
  <si>
    <t>fundsSources[25].annualDebtSvc</t>
  </si>
  <si>
    <t>fundsSources[25].hardDebt</t>
  </si>
  <si>
    <t>fundsSources[26].description</t>
  </si>
  <si>
    <t>fundsSources[26].descriptionCode.code</t>
  </si>
  <si>
    <t>fundsSources[26].amount</t>
  </si>
  <si>
    <t>fundsSources[26].rate</t>
  </si>
  <si>
    <t>fundsSources[26].term</t>
  </si>
  <si>
    <t>fundsSources[26].isApproved</t>
  </si>
  <si>
    <t>fundsSources[26].housingCommercial</t>
  </si>
  <si>
    <t>fundsSources[26].amortPeriod</t>
  </si>
  <si>
    <t>fundsSources[26].annualDebtSvc</t>
  </si>
  <si>
    <t>fundsSources[26].hardDebt</t>
  </si>
  <si>
    <t>units[4].numberOfUnits</t>
  </si>
  <si>
    <t>Import</t>
  </si>
  <si>
    <t>units[5].numberOfUnits</t>
  </si>
  <si>
    <t>units[0].numberOfUnits</t>
  </si>
  <si>
    <t>units[1].numberOfUnits</t>
  </si>
  <si>
    <t>units[2].numberOfUnits</t>
  </si>
  <si>
    <t>units[3].numberOfUnits</t>
  </si>
  <si>
    <t>units[6].numberOfUnits</t>
  </si>
  <si>
    <t>units[7].numberOfUnits</t>
  </si>
  <si>
    <t>units[8].numberOfUnits</t>
  </si>
  <si>
    <t>units[9].numberOfUnits</t>
  </si>
  <si>
    <t>units[10].numberOfUnits</t>
  </si>
  <si>
    <t>feasibility.rental.hasElevator</t>
  </si>
  <si>
    <t>feasibility.totalAcquisitionCost</t>
  </si>
  <si>
    <t>feasibility.hardConstructionCost</t>
  </si>
  <si>
    <t>2013: Structure + Onsite | 2014: Structure + Onsite + Offsite</t>
  </si>
  <si>
    <t>feasibility.totalFees</t>
  </si>
  <si>
    <t>feasibility.totalTaxAndInsuranceCost</t>
  </si>
  <si>
    <t>feasibility.totalConstructionFinancing</t>
  </si>
  <si>
    <t>feasibility.totalPermanentFinancing</t>
  </si>
  <si>
    <t>feasibility.totalProjectReserves</t>
  </si>
  <si>
    <t>feasibility.totalSyndicationFeesExpenses</t>
  </si>
  <si>
    <t>Other Financing- What is this used for? Total Fin Fees on Import s/s?</t>
  </si>
  <si>
    <t>feasibility.rental.grossAnnualRentalIncome</t>
  </si>
  <si>
    <t>feasibility.rental.effectiveGrossIncome</t>
  </si>
  <si>
    <t>feasibility.rental.netOperatingIncome</t>
  </si>
  <si>
    <t>feasibility.rental.hardDebtService</t>
  </si>
  <si>
    <t>feasibility.rental.initialCashFlow</t>
  </si>
  <si>
    <t>feasibility.rental.debtCoverageRatio</t>
  </si>
  <si>
    <t>feasibility.rental.softDebtService</t>
  </si>
  <si>
    <t>2013: Soft Debt Payment to; 2014: Both Cash Flow Debt Service lines</t>
  </si>
  <si>
    <t>feasibility.rental.secondaryCashFlow</t>
  </si>
  <si>
    <t>feasibility.rental.secondaryDebtCoverageRatio</t>
  </si>
  <si>
    <t>feasibility.averageSqFtPerUnit</t>
  </si>
  <si>
    <t>feasibility.averageRehabSqFtPerUnit</t>
  </si>
  <si>
    <t>feasibility.averageConstrSqFtPerUnit</t>
  </si>
  <si>
    <t>feasibility.adjustedTotalDevelopmentCost</t>
  </si>
  <si>
    <t>feasibility.totalDevCostPerUnit</t>
  </si>
  <si>
    <t>feasibility.totalAcqCostPerUnit</t>
  </si>
  <si>
    <t>feasibility.rehabCostPerSqFt</t>
  </si>
  <si>
    <t>feasibility.constrCostPerSqFt</t>
  </si>
  <si>
    <t>feasibility.totalDevCostPerSqFt</t>
  </si>
  <si>
    <t>feasibility.rental.commonOfficeAreaPercentage</t>
  </si>
  <si>
    <t>feasibility.rental.commercialPercentage</t>
  </si>
  <si>
    <t>feasibility.constrContingencyPercentage</t>
  </si>
  <si>
    <t>feasibility.generalRequirementsPercentage</t>
  </si>
  <si>
    <t>feasibility.builderOverheadPercentage</t>
  </si>
  <si>
    <t>feasibility.builderProfitPercentage</t>
  </si>
  <si>
    <t>feasibility.developerFeesPercentage</t>
  </si>
  <si>
    <t>feasibility.rental.totalExpensesPerUnit</t>
  </si>
  <si>
    <t>feasibility.rental.supportiveServiceExpensePerUnit</t>
  </si>
  <si>
    <t>feasibility.rental.managementFeesPercentage</t>
  </si>
  <si>
    <t>Previously unused</t>
  </si>
  <si>
    <t>feasibility.rental.vacancyPercentage</t>
  </si>
  <si>
    <t>feasibility.rental.longCapitalizedOperatingReserve</t>
  </si>
  <si>
    <t>feasibility.rental.lihtcEquity</t>
  </si>
  <si>
    <t>feasibility.rental.replacementReservesPerUnit</t>
  </si>
  <si>
    <t>feasibility.rental.incomeTrend</t>
  </si>
  <si>
    <t>feasibility.rental.expenseTrend</t>
  </si>
  <si>
    <t>feasibility.rental.isRentsStandard</t>
  </si>
  <si>
    <t>feasibility.hardRehabilitationCost</t>
  </si>
  <si>
    <t>feasibility.totalConstrRehabCost</t>
  </si>
  <si>
    <t>feasibility.totalSoftCosts</t>
  </si>
  <si>
    <t>Now includes some fees; still excludes Construction Period Taxes &amp; Insurance</t>
  </si>
  <si>
    <t>feasibility.totalDeveloperFees</t>
  </si>
  <si>
    <t>feasibility.totalProjectCost</t>
  </si>
  <si>
    <t>feasibility.totalUnitsCostBreakout</t>
  </si>
  <si>
    <t>feasibility.totalUnitsProjectWorksheet</t>
  </si>
  <si>
    <t>feasibility.totalSqFt</t>
  </si>
  <si>
    <t>feasibility.totalRehabCosts</t>
  </si>
  <si>
    <t>feasibility.totalRehabSqFt</t>
  </si>
  <si>
    <t>feasibility.newConstructionSqFt</t>
  </si>
  <si>
    <t>feasibility.carryingCosts</t>
  </si>
  <si>
    <t>feasibility.replacementReserves</t>
  </si>
  <si>
    <t>feasibility.operatingReservesSummaryOfUses</t>
  </si>
  <si>
    <t>feasibility.offsiteImprovements</t>
  </si>
  <si>
    <t>feasibility.taxCreditMonitoringFees</t>
  </si>
  <si>
    <t>Field no longer exists</t>
  </si>
  <si>
    <t>feasibility.bridgeLoanInterest</t>
  </si>
  <si>
    <t>feasibility.generalRequirements</t>
  </si>
  <si>
    <t>feasibility.demolition</t>
  </si>
  <si>
    <t>feasibility.builderOverhead</t>
  </si>
  <si>
    <t>feasibility.builderProfit</t>
  </si>
  <si>
    <t>feasibility.constructionContingencyTotal</t>
  </si>
  <si>
    <t>Changed Location</t>
  </si>
  <si>
    <t>feasibility.sourcesOfFundsTotal</t>
  </si>
  <si>
    <t>feasibility.summaryOfUsesTotal</t>
  </si>
  <si>
    <t>feasibility.newConstructionCost</t>
  </si>
  <si>
    <t>feasibility.averageSqFt</t>
  </si>
  <si>
    <t>2013: incorrectly showed Total (HO s/s showed average); 2014: square feet per unit to match HO s/s</t>
  </si>
  <si>
    <t>feasibility.rental.leaseUpReserve</t>
  </si>
  <si>
    <t>Changed location</t>
  </si>
  <si>
    <t>feasibility.rental.capitalizedOpResHousing</t>
  </si>
  <si>
    <t>feasibility.rental.managementFee</t>
  </si>
  <si>
    <t>Changed from $/unit/year in 2013 to % in 2014</t>
  </si>
  <si>
    <t>feasibility.rental.dcrHousing</t>
  </si>
  <si>
    <t>feasibility.rental.opExPLusReplacementRes</t>
  </si>
  <si>
    <t>feasibility.rental.operatingReserve</t>
  </si>
  <si>
    <t>feasibility.rental.propertyTaxTrend</t>
  </si>
  <si>
    <t>feasibility.rental.deferredDevloperFeeSources</t>
  </si>
  <si>
    <t>feasibility.rental.deferredDevloperFeeCumulative</t>
  </si>
  <si>
    <t>feasibility.rental.deferredDevloperFeeMatch</t>
  </si>
  <si>
    <t>feasibility.rental.hardDebtProvidedByApplicant</t>
  </si>
  <si>
    <t>feasibility.rental.hardDebtOnProForma</t>
  </si>
  <si>
    <t>feasibility.rental.fhlbcCalcOnSourcesOfFunds</t>
  </si>
  <si>
    <t>feasibility.rental.debtServiceCalcMatch</t>
  </si>
  <si>
    <t>feasibility.rental.overallHardDebtProvidedByApplicant</t>
  </si>
  <si>
    <t>feasibility.rental.overallHardDebtOnProForma</t>
  </si>
  <si>
    <t>feasibility.rental.overallFHLBCCalcOnSourcesOfFunds</t>
  </si>
  <si>
    <t>feasibility.rental.overallDebtServiceCalcMatch</t>
  </si>
  <si>
    <t>feasibility.rental.rentUpCost</t>
  </si>
  <si>
    <t>feasibility.rental.commercialSqFt</t>
  </si>
  <si>
    <t>feasibility.rental.totalOfficeSqFt</t>
  </si>
  <si>
    <t>feasibility.rental.communitySqFt</t>
  </si>
  <si>
    <t>feasibility.rental.commercialSourcesOfFunds</t>
  </si>
  <si>
    <t>feasibility.rental.commercialCostBreakout</t>
  </si>
  <si>
    <t>feasibility.rental.leaseUpReserves</t>
  </si>
  <si>
    <t>feasibility.rental.proFormaTotalOperatingExpenses</t>
  </si>
  <si>
    <t>feasibility.rental.proFormaReplacementReserves</t>
  </si>
  <si>
    <t>feasibility.rental.absorptionPeriod</t>
  </si>
  <si>
    <t>feasibility.rental.accReserves</t>
  </si>
  <si>
    <t>feasibility.rental.overallProjectReserves</t>
  </si>
  <si>
    <t>feasibility.rental.overallLeaseUpReserves</t>
  </si>
  <si>
    <t>feasibility.rental.overallACCReserves</t>
  </si>
  <si>
    <t>feasibility.rental.lihtcTaxCredits</t>
  </si>
  <si>
    <t>feasibility.rental.totalExpensePerUnit</t>
  </si>
  <si>
    <t>feasibility.rental.proFormaManagementFee</t>
  </si>
  <si>
    <t>feasibility.rental.vacancyPercent</t>
  </si>
  <si>
    <t>feasibility.rental.debtCoverageRatioOverall</t>
  </si>
  <si>
    <t>feasibility.rental.operatingReservesAllYears</t>
  </si>
  <si>
    <t>feasibility.rental.taxTrend</t>
  </si>
  <si>
    <t>this is deleted for DM</t>
  </si>
  <si>
    <t>feasibility.rental.cumulativeRepaidDeferredDeveloperFee</t>
  </si>
  <si>
    <t>feasibility.rental.cumulativeCashflowPerUnit</t>
  </si>
  <si>
    <t>feasibility.rental.overallCumulativeCashflowPerUnit</t>
  </si>
  <si>
    <t>feasibility.rental.applicantHardDebt</t>
  </si>
  <si>
    <t>feasibility.rental.calculatedHardDebt</t>
  </si>
  <si>
    <t>feasibility.rental.overallApplicantHardDebt</t>
  </si>
  <si>
    <t>feasibility.rental.overallProFormaHardDebt</t>
  </si>
  <si>
    <t>feasibility.rental.overallCalculatedHardDebt</t>
  </si>
  <si>
    <t>feasibility.sellerLoans</t>
  </si>
  <si>
    <t>feasibility.rental.recapitalization</t>
  </si>
  <si>
    <t>feasibility.acquisitionOnlyUnits</t>
  </si>
  <si>
    <t>feasibility.acquisitionOnlySqFt</t>
  </si>
  <si>
    <t>feasibility.adjustedDevelopmentCostPerUnit</t>
  </si>
  <si>
    <t>feasibility.spreadOnFinancing</t>
  </si>
  <si>
    <t>feasibility.constrContingencyPercentageOverall</t>
  </si>
  <si>
    <t>feasibility.adjustedDevelopmentCostPerUnitGuideline</t>
  </si>
  <si>
    <t>feasibility.developerFeeGuideline</t>
  </si>
  <si>
    <t>feasibility.rental.capitalizedOpResOverall</t>
  </si>
  <si>
    <t>feasibility.rental.rentalAssistanceReserve</t>
  </si>
  <si>
    <t>feasibility.generalRequirementsDM</t>
  </si>
  <si>
    <t>General requirements %</t>
  </si>
  <si>
    <t>New guideline for DM</t>
  </si>
  <si>
    <t>feasibility.builderOverheadDM</t>
  </si>
  <si>
    <t>Builder overhead %</t>
  </si>
  <si>
    <t>feasibility.builderProfitDM</t>
  </si>
  <si>
    <t>Builder profit %</t>
  </si>
  <si>
    <t>feasibility.totStructureLandGenReq</t>
  </si>
  <si>
    <t>feasibility.totStructureLandGenReqMaxVal</t>
  </si>
  <si>
    <t>New guideline for DM - Max. Value</t>
  </si>
  <si>
    <t>feasibility.rental.architectFees</t>
  </si>
  <si>
    <t>feasibility.rental.engineeringFees</t>
  </si>
  <si>
    <t>feasibility.rental.attorneyFees</t>
  </si>
  <si>
    <t>feasibility.rental.sumProfessionalFees</t>
  </si>
  <si>
    <t>feasibility.rental.managementFeePerunitPermonth</t>
  </si>
  <si>
    <t>feasibility.rental.managementFeeBoolean</t>
  </si>
  <si>
    <t>feasibility.rental.cashflowPrecentGrossIncome</t>
  </si>
  <si>
    <t>feasibility.rental.totalCashflowFiveYearHousing</t>
  </si>
  <si>
    <t>feasibility.rental.totalCashflowFifteenYearOverall</t>
  </si>
  <si>
    <t>Total Cash Flow in First Fifteen Years - Overall</t>
  </si>
  <si>
    <t>feasibility.rental.constructionContingencyOverall</t>
  </si>
  <si>
    <t>feasibility.rental.ahpGrantAmount</t>
  </si>
  <si>
    <t>AHP Subsidy Grant Amount</t>
  </si>
  <si>
    <t>feasibility.constrRehabCostPerSqFt</t>
  </si>
  <si>
    <t>Construction/Rehabilitation Cost per square foot (Summary of Uses total)</t>
  </si>
  <si>
    <t>feasibility.rental.constructionContingencyOverallMax</t>
  </si>
  <si>
    <t>feasibility.constrContingencyHoMax</t>
  </si>
  <si>
    <t>feasibility.totalDeveloperFeesPercentage</t>
  </si>
  <si>
    <t>feasibility.rental.leaseUpReserveDM</t>
  </si>
  <si>
    <t>feasibility.rental.lihtcEquityMin</t>
  </si>
  <si>
    <t>feasibility.fundingRoundName</t>
  </si>
  <si>
    <t>fundsSources[0].rownum</t>
  </si>
  <si>
    <t>fundsSources[1].rownum</t>
  </si>
  <si>
    <t>fundsSources[2].rownum</t>
  </si>
  <si>
    <t>fundsSources[3].rownum</t>
  </si>
  <si>
    <t>fundsSources[4].rownum</t>
  </si>
  <si>
    <t>fundsSources[5].rownum</t>
  </si>
  <si>
    <t>fundsSources[6].rownum</t>
  </si>
  <si>
    <t>fundsSources[7].rownum</t>
  </si>
  <si>
    <t>fundsSources[8].rownum</t>
  </si>
  <si>
    <t>fundsSources[9].rownum</t>
  </si>
  <si>
    <t>fundsSources[10].rownum</t>
  </si>
  <si>
    <t>fundsSources[11].rownum</t>
  </si>
  <si>
    <t>fundsSources[12].rownum</t>
  </si>
  <si>
    <t>fundsSources[13].rownum</t>
  </si>
  <si>
    <t>fundsSources[14].rownum</t>
  </si>
  <si>
    <t>fundsSources[15].rownum</t>
  </si>
  <si>
    <t>fundsSources[16].rownum</t>
  </si>
  <si>
    <t>fundsSources[17].rownum</t>
  </si>
  <si>
    <t>fundsSources[18].rownum</t>
  </si>
  <si>
    <t>fundsSources[19].rownum</t>
  </si>
  <si>
    <t>fundsSources[20].rownum</t>
  </si>
  <si>
    <t>fundsSources[21].rownum</t>
  </si>
  <si>
    <t>fundsSources[22].rownum</t>
  </si>
  <si>
    <t>fundsSources[23].rownum</t>
  </si>
  <si>
    <t>fundsSources[24].rownum</t>
  </si>
  <si>
    <t>fundsSources[25].rownum</t>
  </si>
  <si>
    <t>fundsSources[26].rownum</t>
  </si>
  <si>
    <t>feasibility.rental.escalatorTrendBoolean</t>
  </si>
  <si>
    <t>Hard coded???</t>
  </si>
  <si>
    <t>Topeka doesn't have this field</t>
  </si>
  <si>
    <t>unmerged the cell</t>
  </si>
  <si>
    <t>Column1</t>
  </si>
  <si>
    <t>LIHTC</t>
  </si>
  <si>
    <t>Hard debt Y or N</t>
  </si>
  <si>
    <t>Approved Y or N</t>
  </si>
  <si>
    <t>HOME</t>
  </si>
  <si>
    <t>months vs years</t>
  </si>
  <si>
    <t>month vs years</t>
  </si>
  <si>
    <t>Amort Pd in Yrs</t>
  </si>
  <si>
    <t>Term in years</t>
  </si>
  <si>
    <t>Rehab units</t>
  </si>
  <si>
    <t>New construction units</t>
  </si>
  <si>
    <t># of Rehab Units</t>
  </si>
  <si>
    <t># of New Const Units</t>
  </si>
  <si>
    <t>Income Targeting</t>
  </si>
  <si>
    <t>&lt;= 50% AMI</t>
  </si>
  <si>
    <t>51% - 60% AMI</t>
  </si>
  <si>
    <t>61% - 80% AMI</t>
  </si>
  <si>
    <t>Over 80% AMI</t>
  </si>
  <si>
    <t>Do we need this?/ NO??</t>
  </si>
  <si>
    <t>Keep for now, test later if adding it into Soft Costs impacts totals - CONST PERIOD TAXES &amp; INS</t>
  </si>
  <si>
    <t>Hard coded??? Soft Costs??? Professional fees would be good.</t>
  </si>
  <si>
    <t>Construction Taxes and Ins</t>
  </si>
  <si>
    <t>Construction Finance Fees</t>
  </si>
  <si>
    <t>2014 will encompass construction + bridge fin. - CONST FINANCE FEES</t>
  </si>
  <si>
    <t>PERMANENT FINANCE FEES</t>
  </si>
  <si>
    <t>CAPITALIZED RESERVES</t>
  </si>
  <si>
    <t>OTHER FINANCING FEES AND EXPENSES</t>
  </si>
  <si>
    <t>Soft debt payments</t>
  </si>
  <si>
    <t>INITIAL CASH FLOW</t>
  </si>
  <si>
    <t xml:space="preserve">     SECONDARY CASH FLOW</t>
  </si>
  <si>
    <t>Topeka doesn’t analyze this.</t>
  </si>
  <si>
    <t>ACQUISITION COST PER UNIT</t>
  </si>
  <si>
    <t>TOPEKA LOCKS THE FW CELLS</t>
  </si>
  <si>
    <t>ELEVATOR</t>
  </si>
  <si>
    <t># OF REHAB UNITS</t>
  </si>
  <si>
    <t># OF NEW CONST UNITS</t>
  </si>
  <si>
    <t>Rehab residential Sq Ft</t>
  </si>
  <si>
    <t>New construction residential Sq Ft</t>
  </si>
  <si>
    <t>NEW CONSTRUCTION RESIDENTIAL SQ FT / UNIT</t>
  </si>
  <si>
    <t>REHAB RESIDENTIAL SQ FT / UNIT</t>
  </si>
  <si>
    <t>Non-housing &amp; Accessory Space % - COMMUNITY AND AMMENITIES SPACE %</t>
  </si>
  <si>
    <t>% SQ FT COMMUNITY AND AMENITIES</t>
  </si>
  <si>
    <t>NON-RESIDENTIAL % OF SQ FT</t>
  </si>
  <si>
    <t>GENERAL REQUIREMENTS %</t>
  </si>
  <si>
    <t>RESIDENTIAL NEW CONST COST PER RESIDENTIAL SQ FT</t>
  </si>
  <si>
    <t>RESIDENTIAL REHAB COST PER RESIDENTIAL SQ FT</t>
  </si>
  <si>
    <t>Units by # of bdrs</t>
  </si>
  <si>
    <t>CONTRACTOR OH %</t>
  </si>
  <si>
    <t>CONTRACTOR PROFIT %</t>
  </si>
  <si>
    <t>AVG SIZE PER UNIT (SQ FT)</t>
  </si>
  <si>
    <t>YR 1 - TOPEKA DOESN'T NEED THIS THE RANGE IS LOCKED THROUGH DATA VALIDATION.</t>
  </si>
  <si>
    <t>TOPEKA USES MONTHS - 9 MONTH MAX - STATE IN MONTHS - OPEX - USE FW FOR GUIDELINE</t>
  </si>
  <si>
    <t>TOPEKA DOESN'T NEED THIS THE RANGE IS LOCKED THROUGH DATA VALIDATION.</t>
  </si>
  <si>
    <t xml:space="preserve">Set to 0; TIW removed - HARD CODED </t>
  </si>
  <si>
    <t>HARD REHAB COSTS</t>
  </si>
  <si>
    <t>NEW CONSTRUCTION HARD COSTS</t>
  </si>
  <si>
    <t>DEVELOPER FEE %</t>
  </si>
  <si>
    <t>DEVELOPER FEE AMT</t>
  </si>
  <si>
    <t>2013: Structure + Onsite costs from CB tab; 2014: Structure + Onsite + Offsite from CB tab SAME AS ABOVE TOTAL NOT JUST "HOUSING"</t>
  </si>
  <si>
    <t>2013: Structure + Onsite | 2014: Structure + Onsite + Offsite TOTAL NOT JUST "HSG"</t>
  </si>
  <si>
    <t>TOTAL NOT JUST "HSG".</t>
  </si>
  <si>
    <t>TOPEKA DOESN’T NEED THIS</t>
  </si>
  <si>
    <t># OF UNITS</t>
  </si>
  <si>
    <t>PROJECT CHARACTERISTICS</t>
  </si>
  <si>
    <t>2013: Structure + Onsite costs from CB tab; 2014: Structure + Onsite + Offsite from CB tab HOUSING</t>
  </si>
  <si>
    <t>REHAB SQ FT</t>
  </si>
  <si>
    <t>NEW CONST SQ FT</t>
  </si>
  <si>
    <t>CARRYING COSTS</t>
  </si>
  <si>
    <t>CAPITALIZED</t>
  </si>
  <si>
    <t>CAPITALIZED OPERATING</t>
  </si>
  <si>
    <t>Field no longer exists - ??????</t>
  </si>
  <si>
    <t>Field no longer exists - ?????</t>
  </si>
  <si>
    <t>TOAL RESIDENTIAL AND NON-RESIDENTIAL</t>
  </si>
  <si>
    <t>TOTAL RES AND NON-RES</t>
  </si>
  <si>
    <t>1ST YEAR</t>
  </si>
  <si>
    <t>EXPENSE TO INCOME RATIO</t>
  </si>
  <si>
    <t>ANNUAL TOTAL</t>
  </si>
  <si>
    <t>OPERATING RESERVES</t>
  </si>
  <si>
    <t>REPLACEMENT RESERVES</t>
  </si>
  <si>
    <t>DEFERRED FEE CUMULATIVE REPAID</t>
  </si>
  <si>
    <t>DDF REPAID?</t>
  </si>
  <si>
    <t>Fee Amts</t>
  </si>
  <si>
    <t>TOPEKA PROFORMA PULLS FROM THE SOURCES TAB - NO NEED TO COMPARE</t>
  </si>
  <si>
    <t>TOPEKA SOURCES OF FUNDS SHEET VALIDATES DEBT SERVICE - DON’T NEED THIS</t>
  </si>
  <si>
    <t>HARD DEBT PAYMENTS</t>
  </si>
  <si>
    <t>NON-RESIDENTIAL SQ FT</t>
  </si>
  <si>
    <t>CLUBHOUSE/COMMUNITY BLDG</t>
  </si>
  <si>
    <t>NON-RESIDENTIAL</t>
  </si>
  <si>
    <t>STABILIZED</t>
  </si>
  <si>
    <t>NON-RESIDENTIAL YR 1</t>
  </si>
  <si>
    <t>OTHER RESERVES</t>
  </si>
  <si>
    <t>this is deleted for DM TOPEKA DOESN’T NEED THIS</t>
  </si>
  <si>
    <t>New location - TOPEKA DOESN’T NEED THIS</t>
  </si>
  <si>
    <t>CUMULATIVE CASH FLOW PER UNIT</t>
  </si>
  <si>
    <t>OVERALL CUMULATIVE CASH FLOW PER UNIT</t>
  </si>
  <si>
    <t>TOPEKA VALIDATES DEBT PAYMENT IN THE WORKBOOK</t>
  </si>
  <si>
    <t>TOTAL HARD DEBT PAYMENTS</t>
  </si>
  <si>
    <t># OF ACQ ONLY UNITS</t>
  </si>
  <si>
    <t>ACQUISITION ONLY SQ FT</t>
  </si>
  <si>
    <t>TOPEKA VALIDATES DEVELOPER FEES IN THE WORKBOOK</t>
  </si>
  <si>
    <t>TOPEKA VALIDATES CONSTRUCTION CONTINGENCY COSTS IN THE WORKBOOK</t>
  </si>
  <si>
    <t>Services pupa</t>
  </si>
  <si>
    <t>Total Structure, Land and General requirements - TOPEKA DOESN'T NEED THIS.</t>
  </si>
  <si>
    <t>Total Structure, Land and General requirements - Max Value - TOPEKA DOESN'T NEED THIS</t>
  </si>
  <si>
    <t>Architect Fees - TOPEKA DOESN'T NEED THIS</t>
  </si>
  <si>
    <t>Engineering Fees  - TOPEKA DOESN'T NEED THIS</t>
  </si>
  <si>
    <t>Attorney Fees  - TOPEKA DOESN'T NEED THIS</t>
  </si>
  <si>
    <t>Sum of all Professional Fees  - TOPEKA DOESN'T NEED THIS</t>
  </si>
  <si>
    <t>Management Fee - Per unit/Per month  - TOPEKA DOESN'T NEED THIS</t>
  </si>
  <si>
    <t>Cash Flow as percentage of Gross Income  - TOPEKA DOESN'T NEED THIS</t>
  </si>
  <si>
    <t>Total Cash Flow in First Five Years - Housing  - TOPEKA DOESN'T NEED THIS</t>
  </si>
  <si>
    <t xml:space="preserve">OVERALL CUMULATIVE CASH FLOW </t>
  </si>
  <si>
    <t>HARD CODE</t>
  </si>
  <si>
    <t>Escalator Trend - TOPEKA DOESN’T NEED THIS</t>
  </si>
  <si>
    <t>Total Hard Construction Costs</t>
  </si>
  <si>
    <t>TOTAL SOURCES OF FUNDS</t>
  </si>
  <si>
    <t>numeric field</t>
  </si>
  <si>
    <t>feasibility.workbookVersion</t>
  </si>
  <si>
    <t>feasibility.applicationType</t>
  </si>
  <si>
    <t>rental</t>
  </si>
  <si>
    <t>feasibility.rental.totalExpensePerUnitMin</t>
  </si>
  <si>
    <t>feasibility.rental.totalExpensePerUnitMax</t>
  </si>
  <si>
    <t>Need to update Pro Forma</t>
  </si>
  <si>
    <t>This is Accounting type in other spreadsheet</t>
  </si>
  <si>
    <t>Added zero</t>
  </si>
  <si>
    <t>This is a percentage on DM</t>
  </si>
  <si>
    <t>Permanent Loan</t>
  </si>
  <si>
    <t>CASH FLOW/GROSS INCOME</t>
  </si>
  <si>
    <t>Contingency Guideline:</t>
  </si>
  <si>
    <t>Project's Contingency:</t>
  </si>
  <si>
    <t>Non-Residential Approved Y or N</t>
  </si>
  <si>
    <t>Payment Comparison</t>
  </si>
  <si>
    <t>Removed "Term" from Construction Sources</t>
  </si>
  <si>
    <t xml:space="preserve">The term of the construction financing is variable, and can change due to changes to the construction timeline. </t>
  </si>
  <si>
    <t>Added column to select the source type</t>
  </si>
  <si>
    <t>The automated system requires this information.</t>
  </si>
  <si>
    <r>
      <t xml:space="preserve">Explanation: </t>
    </r>
    <r>
      <rPr>
        <sz val="10"/>
        <rFont val="Calibri"/>
        <family val="2"/>
        <scheme val="minor"/>
      </rPr>
      <t>In the box below enter any further explanations for this page.</t>
    </r>
  </si>
  <si>
    <t># of Acquisition Only Units</t>
  </si>
  <si>
    <t>Units 51% - 60% AMI</t>
  </si>
  <si>
    <t>Units &lt;=50% AMI</t>
  </si>
  <si>
    <t>Units 61% - 80% AMI</t>
  </si>
  <si>
    <t>Units Over 80% AMI</t>
  </si>
  <si>
    <t>units by bedrooms - SRO</t>
  </si>
  <si>
    <t>units by bedrooms - 1 BR</t>
  </si>
  <si>
    <t>units by bedrooms - 2 BR</t>
  </si>
  <si>
    <t>units by bedrooms - 3 BR</t>
  </si>
  <si>
    <t>units by bedrooms - 4 BR</t>
  </si>
  <si>
    <t>Closing Costs</t>
  </si>
  <si>
    <t>Site Environmental</t>
  </si>
  <si>
    <t>Building Hazardous Material Remediation</t>
  </si>
  <si>
    <t>Architect Fees</t>
  </si>
  <si>
    <t>Legal Fees - Eligible</t>
  </si>
  <si>
    <t>Legal Fees - Ineligible</t>
  </si>
  <si>
    <t>Historic Consultant Fee</t>
  </si>
  <si>
    <t xml:space="preserve">Construction Loan Origination Fees  </t>
  </si>
  <si>
    <t>Permanent Loan Origination Fees</t>
  </si>
  <si>
    <t>Marketing</t>
  </si>
  <si>
    <t>Rent Up Reserves</t>
  </si>
  <si>
    <t>Escrows (Explain Below)</t>
  </si>
  <si>
    <r>
      <rPr>
        <b/>
        <sz val="8.5"/>
        <rFont val="Calibri"/>
        <family val="2"/>
        <scheme val="minor"/>
      </rPr>
      <t xml:space="preserve">* </t>
    </r>
    <r>
      <rPr>
        <sz val="8.5"/>
        <rFont val="Calibri"/>
        <family val="2"/>
        <scheme val="minor"/>
      </rPr>
      <t>Enter name of First Mortgage Lender.</t>
    </r>
  </si>
  <si>
    <r>
      <t>Construction Loan</t>
    </r>
    <r>
      <rPr>
        <b/>
        <sz val="10"/>
        <rFont val="Calibri"/>
        <family val="2"/>
        <scheme val="minor"/>
      </rPr>
      <t>*</t>
    </r>
    <r>
      <rPr>
        <sz val="10"/>
        <rFont val="Calibri"/>
        <family val="2"/>
        <scheme val="minor"/>
      </rPr>
      <t>:</t>
    </r>
  </si>
  <si>
    <r>
      <rPr>
        <b/>
        <sz val="8.5"/>
        <rFont val="Calibri"/>
        <family val="2"/>
        <scheme val="minor"/>
      </rPr>
      <t xml:space="preserve">* </t>
    </r>
    <r>
      <rPr>
        <sz val="8.5"/>
        <rFont val="Calibri"/>
        <family val="2"/>
        <scheme val="minor"/>
      </rPr>
      <t>Enter name of Lender.</t>
    </r>
  </si>
  <si>
    <r>
      <rPr>
        <b/>
        <sz val="8.5"/>
        <rFont val="Calibri"/>
        <family val="2"/>
        <scheme val="minor"/>
      </rPr>
      <t xml:space="preserve">* </t>
    </r>
    <r>
      <rPr>
        <sz val="8.5"/>
        <rFont val="Calibri"/>
        <family val="2"/>
        <scheme val="minor"/>
      </rPr>
      <t>Enter name of Construction Loan Lender.</t>
    </r>
  </si>
  <si>
    <r>
      <t xml:space="preserve">Explanation: </t>
    </r>
    <r>
      <rPr>
        <sz val="10"/>
        <rFont val="Calibri"/>
        <family val="2"/>
        <scheme val="minor"/>
      </rPr>
      <t>In the box below enter any explanation needed.</t>
    </r>
  </si>
  <si>
    <t xml:space="preserve"> E. Other Income:</t>
  </si>
  <si>
    <t xml:space="preserve"> F. Other Income:</t>
  </si>
  <si>
    <t>Gross Annual Rental Income</t>
  </si>
  <si>
    <t>9. DEBT COVERAGE RATIO</t>
  </si>
  <si>
    <t>ADJUSTED TDC</t>
  </si>
  <si>
    <t xml:space="preserve">Empty in 2013; 2014: Total Sqare Feet to match HO s/s </t>
  </si>
  <si>
    <t>Number of months to lease up:</t>
  </si>
  <si>
    <t xml:space="preserve">Absorption Rate is used in the automated system. </t>
  </si>
  <si>
    <t>Added a question about number of months to lease up.</t>
  </si>
  <si>
    <t xml:space="preserve">Renamed 'Rental Assistance Reserves'; same purpose </t>
  </si>
  <si>
    <t>Rental Assistance Reserves</t>
  </si>
  <si>
    <t>Services DCR</t>
  </si>
  <si>
    <t>Non-Residential Debt Service</t>
  </si>
  <si>
    <t>Total Debt Service</t>
  </si>
  <si>
    <t>Management Fee within Guideline</t>
  </si>
  <si>
    <t xml:space="preserve">Management Fee Boolean Value  - </t>
  </si>
  <si>
    <t>Expense PUPA Minimum</t>
  </si>
  <si>
    <t>Expense PUPA Maximum</t>
  </si>
  <si>
    <t xml:space="preserve">Changed the name and/or location of costs. Added some new costs. </t>
  </si>
  <si>
    <t>Made the costs more consistent with the other FHLBs with the automated system. Included costs that several applicants wrote in as other (ie Marketing).</t>
  </si>
  <si>
    <t>Project Characteristics</t>
  </si>
  <si>
    <t>Added questions to the top of the worksheet.</t>
  </si>
  <si>
    <t>NA</t>
  </si>
  <si>
    <t>RBA Data</t>
  </si>
  <si>
    <t>Reflected changes made to workbook.</t>
  </si>
  <si>
    <t xml:space="preserve">Will be used to input data into the RBA and changes were made to the workbook, requiring changes. </t>
  </si>
  <si>
    <t>Updated maximum AHP Subsidy allowed to $750,000</t>
  </si>
  <si>
    <t>The maximum guideline changed from 2016</t>
  </si>
  <si>
    <r>
      <rPr>
        <b/>
        <sz val="10"/>
        <rFont val="Calibri"/>
        <family val="2"/>
        <scheme val="minor"/>
      </rPr>
      <t>Instructions:</t>
    </r>
    <r>
      <rPr>
        <sz val="10"/>
        <rFont val="Calibri"/>
        <family val="2"/>
        <scheme val="minor"/>
      </rPr>
      <t xml:space="preserve"> In the blue shaded cells, input the number of units for each unit type and AMI% category with corresponding rent amounts the Tenant is responsible for and the additional assistance the Project receives on behalf of the tenant. Use the maximum rent amount the tenant will pay.</t>
    </r>
  </si>
  <si>
    <t>N</t>
  </si>
  <si>
    <t>Description Code</t>
  </si>
  <si>
    <t>2017</t>
  </si>
  <si>
    <t>Added 2017 Income Limits in column AD.</t>
  </si>
  <si>
    <t xml:space="preserve">2017 Income Limits became available 4/14/2017. </t>
  </si>
  <si>
    <t>Updated formulas and name ranges to incorporate 2017 income limits.</t>
  </si>
  <si>
    <t>Residents Currently Occupy Project:</t>
  </si>
  <si>
    <t>Received email 4/19/2017 from Bobbi Shinn with the CHP rates effective on that day.</t>
  </si>
  <si>
    <t>Conditional Formatting and Data Validation to limit AHP Subsidy to $750,000</t>
  </si>
  <si>
    <t>2017 Implementation Plan increased maximum subsidy from $500,000 to $750,000</t>
  </si>
  <si>
    <t>9. DEBT COVERAGE RATIO year one</t>
  </si>
  <si>
    <t>Removed Ineligible Legal Fees from Developer Fee calculation.</t>
  </si>
  <si>
    <t>The ineligible legal fees were inadvertently included in the calculation.</t>
  </si>
  <si>
    <t xml:space="preserve">Questions are necessary for upload for the automated system. </t>
  </si>
  <si>
    <t xml:space="preserve">Occupied projects need to fill out RPR, and are prompted to do so. A link to the AHP forms website is also added. </t>
  </si>
  <si>
    <t>Added item to determine if project is occupied</t>
  </si>
  <si>
    <t>Conditional Formatting and Data Validation to limit AHP Subsidy per Unit to $40,000.</t>
  </si>
  <si>
    <t>2018 Implementation Plan increased maximum subsidy from $30,000 to $40,000</t>
  </si>
  <si>
    <t>Changed the tab name to Site Work Cost</t>
  </si>
  <si>
    <t xml:space="preserve">The previous name implied that rehab projects do not need to complete, which is inaccurate. </t>
  </si>
  <si>
    <r>
      <t xml:space="preserve">8. CASH FLOW PAYMENTS </t>
    </r>
    <r>
      <rPr>
        <sz val="8"/>
        <rFont val="Arial"/>
        <family val="2"/>
      </rPr>
      <t>(ie asset management fee, soft debt)</t>
    </r>
  </si>
  <si>
    <r>
      <t xml:space="preserve">Explanation: </t>
    </r>
    <r>
      <rPr>
        <sz val="10"/>
        <rFont val="Arial"/>
        <family val="2"/>
      </rPr>
      <t>In the box below enter any explanation needed.</t>
    </r>
  </si>
  <si>
    <t>Download</t>
  </si>
  <si>
    <t>Updated the description codes for non-residential sources</t>
  </si>
  <si>
    <t>AHP Online had an error during the 2017 round, and CEI determined if the description codes were updated, the error would not reoccur in future rounds.</t>
  </si>
  <si>
    <t>Removed Accessory Structure from hard cost calculation.</t>
  </si>
  <si>
    <t>Accessory Structure is no longer a line item in the development budget.</t>
  </si>
  <si>
    <t xml:space="preserve">Updated the formula for Deferred Developer Repay to reduce the Secondary Cash Flow payment amount.  </t>
  </si>
  <si>
    <t xml:space="preserve">The previous version allowed cash flow to be negative because the Deferred Developer Repay calculation did not reduce by the Secondary Cash Flow payment amount. </t>
  </si>
  <si>
    <t>Annual updates to work in AHP Online.</t>
  </si>
  <si>
    <r>
      <t xml:space="preserve">Explanation: </t>
    </r>
    <r>
      <rPr>
        <sz val="10"/>
        <rFont val="Arial"/>
        <family val="2"/>
      </rPr>
      <t>In the box below enter any further explanations for this page.</t>
    </r>
  </si>
  <si>
    <t>Dallas Co, Texas</t>
  </si>
  <si>
    <t>Added 2018 Income Limits in column AE.</t>
  </si>
  <si>
    <t xml:space="preserve">2018 Income Limits became available 4/1/2018. </t>
  </si>
  <si>
    <t>Updated formulas and name ranges to incorporate 2018 income limits.</t>
  </si>
  <si>
    <t>Added Dallas County, TX</t>
  </si>
  <si>
    <t>2017 project was awarded from Dallas Co, TX</t>
  </si>
  <si>
    <t xml:space="preserve">Updated the total annual debt service to only include P&amp;I and Interest Only payments. </t>
  </si>
  <si>
    <t xml:space="preserve">Deferred and cash flow payments should not be included in the annual debt service total. </t>
  </si>
  <si>
    <r>
      <rPr>
        <b/>
        <sz val="10"/>
        <rFont val="Arial"/>
        <family val="2"/>
      </rPr>
      <t xml:space="preserve">Instructions: </t>
    </r>
    <r>
      <rPr>
        <sz val="10"/>
        <rFont val="Arial"/>
        <family val="2"/>
      </rPr>
      <t>Provide explanation in the table below for each issue identified. If more space is needed, increase row height.</t>
    </r>
  </si>
  <si>
    <r>
      <rPr>
        <sz val="11"/>
        <rFont val="Arial"/>
        <family val="2"/>
      </rPr>
      <t xml:space="preserve">Explanation </t>
    </r>
    <r>
      <rPr>
        <sz val="10"/>
        <rFont val="Arial"/>
        <family val="2"/>
      </rPr>
      <t xml:space="preserve">
</t>
    </r>
    <r>
      <rPr>
        <sz val="10"/>
        <rFont val="Arial"/>
        <family val="2"/>
      </rPr>
      <t>Attach supporting documentation, if necessary. You may increase row height if additional space is needed.</t>
    </r>
  </si>
  <si>
    <t>Updated the interest rate guidelines.</t>
  </si>
  <si>
    <t>CHP Rates as of 4/24/2018.</t>
  </si>
  <si>
    <t xml:space="preserve">Updated formula to include current interest rate guideline where indicated. </t>
  </si>
  <si>
    <t>CHP Rate as of 4/24/2018.</t>
  </si>
  <si>
    <t>2018</t>
  </si>
  <si>
    <t>Site Work Costs</t>
  </si>
  <si>
    <t xml:space="preserve">Added example line. </t>
  </si>
  <si>
    <t xml:space="preserve">There has been confusion in the past. </t>
  </si>
  <si>
    <t>Pro forma Annual Debt Service</t>
  </si>
  <si>
    <t>Updated the interest rates in the "If" formula to generate the error message correctly.</t>
  </si>
  <si>
    <t>The interest rates were not updated in the calculation, and the error displayed with interest rates that were within the 2018 guideline but greater than the 2017 guideline.</t>
  </si>
  <si>
    <t>Copied the formulas in lines 18 through 20 in columns K and L.</t>
  </si>
  <si>
    <t xml:space="preserve">The referenced cells did not include a formula, and the payment was not transferred to the housing pro forma. </t>
  </si>
  <si>
    <t>Conditional Formatting and Data Validation to limit AHP Subsidy per Unit to $50,000.</t>
  </si>
  <si>
    <t>2019 Implementation Plan increased maximum subsidy from $40,000 to $50,000</t>
  </si>
  <si>
    <t>Conditional Formatting and Data Validation to limit AHP Subsidy to $1,000,000</t>
  </si>
  <si>
    <t>2019 Implementation Plan increased maximum subsidy from $750,000 to $1,000,000</t>
  </si>
  <si>
    <t>Updated the SPU Guideline to $50,000</t>
  </si>
  <si>
    <t xml:space="preserve">  ProForma Yr1 =12 mos</t>
  </si>
  <si>
    <t>Updated the Capitalized Operating Reserves Guideline to 12 months</t>
  </si>
  <si>
    <t>2019 Implementation Plan increased maximum SPU from $40,000 to $50,000</t>
  </si>
  <si>
    <t>2019 Implementation Plan increased maximum capitalized operating reserves from 9 months to 12 months</t>
  </si>
  <si>
    <t>Updated the round and version  numbers</t>
  </si>
  <si>
    <t>$3200 Min - $6000 Max</t>
  </si>
  <si>
    <t>Updated the maximum operating costs per unit per year to $6,000</t>
  </si>
  <si>
    <t xml:space="preserve">Updated the guidelines relating to interest rates and formatting. </t>
  </si>
  <si>
    <t>CHP Rate as of 3/26/19.</t>
  </si>
  <si>
    <t>The IP guideline excludes payments made from cash flow.</t>
  </si>
  <si>
    <t xml:space="preserve">2019 Implementation Plan increased the maximum operating costs from $5,000 to $6,000 per unit per year. </t>
  </si>
  <si>
    <t>Updated the calculation in the Cash Flow Line Item.</t>
  </si>
  <si>
    <t>The previous calculation was not reducing the debt service payments.</t>
  </si>
  <si>
    <t>The 2019 Nebraska QAP removed the $125 per sq ft maximum.</t>
  </si>
  <si>
    <t>Capitalized Reserves (Op, Repl, Ecrows, Debt Serv)</t>
  </si>
  <si>
    <t>Updated the conditional formatting and comment in cell D44 to a maximum of $6,000.</t>
  </si>
  <si>
    <t>Updated the formula for Permanent Loan Interest Rate to return only the interest rate for P&amp;I Payments and Interest Only loans.</t>
  </si>
  <si>
    <t>Updated the actual interest rates to show 3 decimal places.</t>
  </si>
  <si>
    <t xml:space="preserve">Updated to match the formatting in the guideline column. </t>
  </si>
  <si>
    <t>Updated the Nebraska Adjusted Eligible Basis to remove the calculation to limit the Adjusted Eligible Basis to $125 per sq ft.</t>
  </si>
  <si>
    <t>2019</t>
  </si>
  <si>
    <t>Boyd Co, Kentucky</t>
  </si>
  <si>
    <t>05/01/2019 Updates</t>
  </si>
  <si>
    <t>Added 2019 Income Limits in column AF.</t>
  </si>
  <si>
    <t xml:space="preserve">2019 Income Limits became available 4/24/2019. </t>
  </si>
  <si>
    <t>Added Boyd County, KY</t>
  </si>
  <si>
    <t xml:space="preserve">2018 project was approved as an alternate from Boyd County, KY. </t>
  </si>
  <si>
    <t>Added Data Validation to limit input in Months to Lease up to Whole Numbers</t>
  </si>
  <si>
    <t>AHP Online requires the field to have a number with no text or the feasibility workbook may not upload</t>
  </si>
  <si>
    <t>2020</t>
  </si>
  <si>
    <t>Added 2020 Income Limits in column AG.</t>
  </si>
  <si>
    <t xml:space="preserve">2020 Income Limits became available 4/07/2020 </t>
  </si>
  <si>
    <t>CHP Rate as of 5/5/2020.</t>
  </si>
  <si>
    <t>2020 Implementation Plan decreased maximum subsidy from  $1,000,000 to $750,000.</t>
  </si>
  <si>
    <t>Row 52 formulas to have consistent structure and references</t>
  </si>
  <si>
    <t>Addresses RiskSpan report finding.</t>
  </si>
  <si>
    <t>Download Tab - Update the referenced cells in B464 to update the maximum operating costs guideline</t>
  </si>
  <si>
    <t>Sources of funds tab - remove data validation comment in all lines where it indicates interest should be included on the development budget - except construction</t>
  </si>
  <si>
    <t>Fee Analysis Worksheet - Make sure developer fees do not include legal fees</t>
  </si>
  <si>
    <t>Source of Funds</t>
  </si>
  <si>
    <t>Updated cell L9 in Feasibility  Analysis Worksheet to reflect max OPEX guideline of $6,000 PUPA</t>
  </si>
  <si>
    <t>Site Work Cost, Rehab Scope of Work, and Detailed Rehab costs</t>
  </si>
  <si>
    <t>All threes tabs deleted</t>
  </si>
  <si>
    <t>Construction pages - Site work and rehab scope of work and cost tabs - should no longer be included in the application FW because they are not utilized by CCR reviewers</t>
  </si>
  <si>
    <t>Celll S12 updated to reflect correct Description Code</t>
  </si>
  <si>
    <t>Commitment Letter Description in AHP Online was displaying incorrect description for Owner Equity</t>
  </si>
  <si>
    <t xml:space="preserve">Developer Fee calculation for CO does not subtract out non-residential dev fee. </t>
  </si>
  <si>
    <t xml:space="preserve">Colorado costs uses total project costs in determining developer fee calculation, and therefore the full dev fee needs to be used. </t>
  </si>
  <si>
    <t xml:space="preserve">Updated cell reference in cell J39 .  </t>
  </si>
  <si>
    <t>Updated data validation comments in column C</t>
  </si>
  <si>
    <t>TOTAL DEVELOPMENT COST PER UNIT</t>
  </si>
  <si>
    <t>TOTAL DEVELOPMENT COST PER SQ FT</t>
  </si>
  <si>
    <t xml:space="preserve">Updated formula removes ambiguity in the Board Report. </t>
  </si>
  <si>
    <t>Rental FW Development Budget calculation for formula cell U126 needs to be changed to total development cost per unit, instead of residential cost per unit. The board reports header is ambiguious when non-residentail costs were included and this is the fix instead of updating AHP Online. Download Tab, cell D331 was also updated to say Total Development Cost per unit instead of residential.</t>
  </si>
  <si>
    <t>Targeted USDA Income Limit</t>
  </si>
  <si>
    <t>Transitioned to USDA limits</t>
  </si>
  <si>
    <t xml:space="preserve">Comment in cell A9 and text in A9 were updated to remove reference to HUD. </t>
  </si>
  <si>
    <t xml:space="preserve">Website in the comment in cell H7 was updated to remove reference to HUD. </t>
  </si>
  <si>
    <t xml:space="preserve">Local Permit Fees (Contractor Paid)  </t>
  </si>
  <si>
    <t>Tap Permit Fees (Contractor Paid)</t>
  </si>
  <si>
    <t>Furniture, Fixtures, and Equipment (FF&amp;E) (Contractor Paid)</t>
  </si>
  <si>
    <t>Other: (specify) (Contractor Paid)</t>
  </si>
  <si>
    <t>Non-Contractor Paid Permit Fees, FF&amp;E, and Other: (specify)</t>
  </si>
  <si>
    <t>Added row 45 and updated titles in cells A41:A45</t>
  </si>
  <si>
    <t xml:space="preserve">Extra detail is needed to update fee calculations. </t>
  </si>
  <si>
    <t xml:space="preserve">Conditional text in cell D10 edited to remove references to non-existent tabs. </t>
  </si>
  <si>
    <t>Added calculations in cells J59:J61 to align developer fee calculation with CO's QAP</t>
  </si>
  <si>
    <t xml:space="preserve">Overages in Contractor fees are factored into the Colorado developer fee calculation. </t>
  </si>
  <si>
    <t>Revised calculations in columns J-P, row 16 to align closer to QAPs</t>
  </si>
  <si>
    <t xml:space="preserve">Tabs that were referenced are no longer a part of the workbook. </t>
  </si>
  <si>
    <t>Calculations in row 16 now include only contractor related costs for new construction and Rehab work.</t>
  </si>
  <si>
    <t>2021_4P_50</t>
  </si>
  <si>
    <t>2021_5P_50</t>
  </si>
  <si>
    <t>2021_4P_80</t>
  </si>
  <si>
    <t>2021_5P_80</t>
  </si>
  <si>
    <t>USDA Income Limits</t>
  </si>
  <si>
    <t>Tab was created to hold the 50% and 80% USDA AMI limits for both a 1-4 and a 5-8 person household size for each county.</t>
  </si>
  <si>
    <t>A new calculation method was determined necessary to correctly calculate USDA AMI.</t>
  </si>
  <si>
    <t>The formulas in the Household Size AMI Limit table were updated to follow the new method for calculating USDA limits using both the 50% and 80% AMI limit in years 2021 and after.</t>
  </si>
  <si>
    <t>Cell D9 was updated to tell the member to contact HCD if "Other" is selected for the County name.</t>
  </si>
  <si>
    <t>Due to the change in calculation method, HCD determined it necessary to have the project contact HCD if their project is in one of the counties not currently specified so it can be added to the workbook.</t>
  </si>
  <si>
    <t>Date</t>
  </si>
  <si>
    <t>Revisions</t>
  </si>
  <si>
    <t>Updated formating, deleted testing column, and renamed tab</t>
  </si>
  <si>
    <t xml:space="preserve">Changes made to make the tab consistent with other forms. </t>
  </si>
  <si>
    <t>GT_Custom, Compatibility Report, Module 1, and Module 2</t>
  </si>
  <si>
    <t>Deleted</t>
  </si>
  <si>
    <t xml:space="preserve">These tabs were not used for any purpose. They were deleted to help clean up the Spreadsheet. </t>
  </si>
  <si>
    <t>Residential</t>
  </si>
  <si>
    <t>Download Tab Figures</t>
  </si>
  <si>
    <t>Size of project site in square feet</t>
  </si>
  <si>
    <t>Contractor Fees</t>
  </si>
  <si>
    <t>Developer Fee Eligible Costs</t>
  </si>
  <si>
    <t xml:space="preserve">    Cumulative Cash Flow (After Cash Flow Payments)</t>
  </si>
  <si>
    <t xml:space="preserve">    Cumulative Cash Flow (Before Cash Flow Payments)</t>
  </si>
  <si>
    <t>Developer and Consultant Fee</t>
  </si>
  <si>
    <t xml:space="preserve">Tab is no longer needed. Important data collection fields are moved to Project Information </t>
  </si>
  <si>
    <t xml:space="preserve">Table and formulas includes information that used to be on the Project Characteristics tab. </t>
  </si>
  <si>
    <t xml:space="preserve">This tab is no longer needed. Update guidelines in 2021 IP means contractor fees and developer fee calculations are moved to Feasibility Analysis Worksheet.  </t>
  </si>
  <si>
    <t>CHP Rate as of 5/14/2021.</t>
  </si>
  <si>
    <t>Rows 22 and 23 were inserted for contractor fees and developer fee calculations</t>
  </si>
  <si>
    <t xml:space="preserve">Update guidelines in 2021 IP means contractor fees and developer fee calculations are moved to Feasibility Analysis Worksheet.  </t>
  </si>
  <si>
    <t>Updated the round to 2021A in cell B459</t>
  </si>
  <si>
    <t>Annual update to work in AHP Online.</t>
  </si>
  <si>
    <t>Dubuque Co, Iowa</t>
  </si>
  <si>
    <t>Updated for 2021 incomes</t>
  </si>
  <si>
    <t xml:space="preserve">2021 USDA limits were released. </t>
  </si>
  <si>
    <t xml:space="preserve">Removed Formating in Cell E9 and Note in E10. </t>
  </si>
  <si>
    <t xml:space="preserve">The formula was deleted in E9 and formatting is not longer needed. The note in E10 is no longer applicable. </t>
  </si>
  <si>
    <t xml:space="preserve">Table in G8:K17 and Formulas in columns M &amp; N added </t>
  </si>
  <si>
    <t>Cell E13 formula updated to change link to TIW</t>
  </si>
  <si>
    <t xml:space="preserve">Updated formula is easier to format. </t>
  </si>
  <si>
    <t xml:space="preserve">Updated Conditional formatting so that entire form is blank when the FW is first opened and no data is entered. </t>
  </si>
  <si>
    <t xml:space="preserve">Conditional formatting was not working as intended prior to revision. </t>
  </si>
  <si>
    <t>Updated formatting and text in cell D17</t>
  </si>
  <si>
    <t xml:space="preserve">Previous text indicated a requirement to have bids by August 1st, which doesn't make sense given the 2021 funding round. </t>
  </si>
  <si>
    <t xml:space="preserve">Cells I110 and I111 were updated to refer to correct Project Info cell. </t>
  </si>
  <si>
    <t>Non-residential costs associated with the developer fee subsection should only be counted if the Project Information screen confirms developer is collecting fees for non-residential costs.</t>
  </si>
  <si>
    <t xml:space="preserve">Updated formulas in column E to use non-residential calculations in column I. </t>
  </si>
  <si>
    <t xml:space="preserve">Old formula used column D, which isn't always populated and thus the residential costs in column E were not always accurate. </t>
  </si>
  <si>
    <t xml:space="preserve">Cell B309 was updated so the formula pulled the correct information from the Project Information tab. </t>
  </si>
  <si>
    <t xml:space="preserve">Before the update, the cell was formated as "Text", which causes updates to the formula to not work. Excel displayed the formula instead of calculating it. After the update, the cell is still formatted as Text, but the formula is working as intended. </t>
  </si>
  <si>
    <t xml:space="preserve">Cell M21 formula updated to pull total units from Rental Project Worksheet tab. </t>
  </si>
  <si>
    <t xml:space="preserve">Old formula referenced incorrect cell in the RPW. </t>
  </si>
  <si>
    <t xml:space="preserve">Download </t>
  </si>
  <si>
    <t>Updated Version number in B461 and B466 to "2"</t>
  </si>
  <si>
    <t xml:space="preserve">This is the second revision of the application workbook. </t>
  </si>
  <si>
    <t xml:space="preserve">Updated 2021 income limits </t>
  </si>
  <si>
    <t>Formulas in cells P8:P22, N25, and O25 were updated to remove so that they did not use formulas that are not supported in older versions of Excel</t>
  </si>
  <si>
    <t xml:space="preserve">The Ifs formula in P8:P22 and the "Maxifs" forumal in N25 and O25 are not suppported in older versions of Excel. Replaced the Ifs statements with nested if statements  and the Maxifs with a Max statement that contains an If statement. </t>
  </si>
  <si>
    <t>Updated Version number in B461 and B466 to "3"</t>
  </si>
  <si>
    <t>Developer Fee Percentage Maximum 15%</t>
  </si>
  <si>
    <t>Contractor Fee Percentage. Maximum 12%</t>
  </si>
  <si>
    <t>Soft Cost Contingency  - Maximum 3%</t>
  </si>
  <si>
    <t>Replacement Reserves(Capitalized) - Maximum $350/unit</t>
  </si>
  <si>
    <t>Is DDF repaid?</t>
  </si>
  <si>
    <t>DDF Repayment - DDF needs to be repaid w/i 15yrs</t>
  </si>
  <si>
    <t>Guideline for Topeka added 2022</t>
  </si>
  <si>
    <t xml:space="preserve">New </t>
  </si>
  <si>
    <t>No Change</t>
  </si>
  <si>
    <t>Col G Legend 1/19/ 2022</t>
  </si>
  <si>
    <t>To Be Deleted (when prioritized, potentially 2023)</t>
  </si>
  <si>
    <t>Potentially Deleted (when prioritized, potentially 2023)</t>
  </si>
  <si>
    <t>Updated Version number in B461 and B466 to "1"</t>
  </si>
  <si>
    <t>Updated Funding Round in  B459 to "2022A"</t>
  </si>
  <si>
    <t xml:space="preserve">Creating 2022 Workbook </t>
  </si>
  <si>
    <t>This is the first version of the 2022 application workbook.</t>
  </si>
  <si>
    <t xml:space="preserve">Added rows 467- 472. </t>
  </si>
  <si>
    <t xml:space="preserve">Added rows correspond to guidelines that are now going to be checked by the system. </t>
  </si>
  <si>
    <t xml:space="preserve">Vacancy/Bad Debt Rate Year 1  </t>
  </si>
  <si>
    <t xml:space="preserve">Stabilized Vacancy/Bad Debt Rate Years 2 - 15  </t>
  </si>
  <si>
    <t>Cells D5 and D6. Name of vacancy  percentage updated to include bad debt.</t>
  </si>
  <si>
    <t xml:space="preserve">Change made to make clear these cells tie to the Vacancy/bad debt guideline. </t>
  </si>
  <si>
    <t>01/27/2022</t>
  </si>
  <si>
    <t>Updated the formula in cell H6 to account for 2022 effective dates.</t>
  </si>
  <si>
    <t>Tab needed updated so the 2021 income limits could continue to be used until the next income update in Summer 2022.</t>
  </si>
  <si>
    <t>Added the effective dates column to allow for the addition of future years' income limits.</t>
  </si>
  <si>
    <t>Column needed added so the 2021 income limits could continue to be used until the next income update in Summer 2022, and additional years' income limits can be added in the future.</t>
  </si>
  <si>
    <t>Effective Dates</t>
  </si>
  <si>
    <t>Debt Capacity Measurement - Debt Service $/TDC $</t>
  </si>
  <si>
    <t>Contractor Fee Eligible Costs</t>
  </si>
  <si>
    <t>2022_4P_50</t>
  </si>
  <si>
    <t>2022_5P_50</t>
  </si>
  <si>
    <t>2022_4P_80</t>
  </si>
  <si>
    <t>2022_5P_80</t>
  </si>
  <si>
    <t>feasibility.rental.contractorFeePer</t>
  </si>
  <si>
    <t>feasibility.rental.softCostContingencyPer</t>
  </si>
  <si>
    <t>feasibility.rental.replaceReservesCapMax</t>
  </si>
  <si>
    <t>feasibility.rental.replaceResAnnual</t>
  </si>
  <si>
    <t>feasibility.rental.debtServiceResActual</t>
  </si>
  <si>
    <t>feasibility.rental.debtServiceResMax</t>
  </si>
  <si>
    <t>feasibility.rental.effectiveGrossIncomePer</t>
  </si>
  <si>
    <t>feasibility.rental.deferredDeveRepay</t>
  </si>
  <si>
    <t>Maximum Allowable Guideline - 9 months</t>
  </si>
  <si>
    <t>Debt Service Reserves for the Project</t>
  </si>
  <si>
    <t>Actual value of Capitalized Replacement Reserve</t>
  </si>
  <si>
    <t>Average DDF repaid/year</t>
  </si>
  <si>
    <t>Years to Payoff DDF</t>
  </si>
  <si>
    <t>Annual Replacement Reserve</t>
  </si>
  <si>
    <t>Annual Replacement Reserve - Min or Max if outside of guidelines. Max if w/i guidelines</t>
  </si>
  <si>
    <t>DCR</t>
  </si>
  <si>
    <t>EGI%</t>
  </si>
  <si>
    <t>DCR - Min or Max if outside of guidelines; Max if w/i guidelines; NA if DCR is not used</t>
  </si>
  <si>
    <t>DCR - Min or Max if outside of guidelines; Max if w/i guidelines; NA if EGI% is not used</t>
  </si>
  <si>
    <t xml:space="preserve">Added effective date of 6/8/2022 and the 2022 income limits </t>
  </si>
  <si>
    <t xml:space="preserve">Annual Update of the income limits. </t>
  </si>
  <si>
    <t>CHP Rate as of 6/17/2022.</t>
  </si>
  <si>
    <t>Updated Cells D6 and D9 to increase maximum award and SPU for the 2022 round</t>
  </si>
  <si>
    <t>2022 round will have a maximum award of $1,000,000 or $75,000 per AHP unit</t>
  </si>
  <si>
    <t>Cell L21 formula was throwing an error for DDF and not allowing users to upload to AHP Online</t>
  </si>
  <si>
    <t>Update/Issue</t>
  </si>
  <si>
    <t>Updated to match the AHP IP</t>
  </si>
  <si>
    <t>Maximum SPU is incorrect cell F26</t>
  </si>
  <si>
    <t>Non-Residential Sq Ft Calculations</t>
  </si>
  <si>
    <t>Funding round name updated cell B459</t>
  </si>
  <si>
    <t>Updated to 2023A to match the application year</t>
  </si>
  <si>
    <t>Updated to version 1 to coincide with the first published version</t>
  </si>
  <si>
    <t>Version number cell B461</t>
  </si>
  <si>
    <t>The formula was updated based on a fix that was done in 2022 and tested during the round</t>
  </si>
  <si>
    <t>Update effective date</t>
  </si>
  <si>
    <t>Used by internal and external users to verify the correct FW is being used.</t>
  </si>
  <si>
    <t>Allows for an interest rate closest to when the FW is released for applications.</t>
  </si>
  <si>
    <t>Update mortgage interest rates</t>
  </si>
  <si>
    <t>Update with 15 yr rate when max interest rate is known</t>
  </si>
  <si>
    <t>Update formula to include updated mortgage interest rates (cell B162)</t>
  </si>
  <si>
    <t>Update effective date on income limits</t>
  </si>
  <si>
    <t>Allows for the correct analysis</t>
  </si>
  <si>
    <t>Don't need - not causing errors, no not delete</t>
  </si>
  <si>
    <t>Update USDA income limits</t>
  </si>
  <si>
    <t>***No longer use Income Limits tab for applications - can't delete due to requirements in AHP Online, but should be locked and hidden</t>
  </si>
  <si>
    <t>Not needed since EB is no longer analyzed</t>
  </si>
  <si>
    <t xml:space="preserve">Could not update before round opening due to income limits not be published/released by USDA. </t>
  </si>
  <si>
    <t xml:space="preserve">Leaving blank so that 2022 income limits can be used. </t>
  </si>
  <si>
    <t>Explanation: In the box below enter any further explanations for this page.</t>
  </si>
  <si>
    <t>Date Completed:</t>
  </si>
  <si>
    <r>
      <t xml:space="preserve">Instructions: </t>
    </r>
    <r>
      <rPr>
        <sz val="10"/>
        <rFont val="Calibri"/>
        <family val="2"/>
        <scheme val="minor"/>
      </rPr>
      <t>Enter all permanent and construction sources of funds.  
For all residential permanent sources of funds listed, loan fees must be entered in column H. 
Monthly or Annual Debt service, Loan Fees, Term, Rate, and Loan Amount must be consistent with source documentation. 
Total Sources must equal total uses.</t>
    </r>
  </si>
  <si>
    <t xml:space="preserve">Date Completed: </t>
  </si>
  <si>
    <t>7/26/2022</t>
  </si>
  <si>
    <t>Changed 2022 Effective Date to 8/1/22</t>
  </si>
  <si>
    <t>Changing to 8/1/22 to match the effective date for OO projects and to ensure consistency between calculations in this version and the previous versions.</t>
  </si>
  <si>
    <t>2022A</t>
  </si>
  <si>
    <t>Updated USDA income limits</t>
  </si>
  <si>
    <t>Updated effective date for income limits</t>
  </si>
  <si>
    <t>Changed version number to 2</t>
  </si>
  <si>
    <t>Allows 2022 projects to use the new income/rent limits</t>
  </si>
  <si>
    <t>2023_4P_50</t>
  </si>
  <si>
    <t>2023_5P_50</t>
  </si>
  <si>
    <t>2023_4P_80</t>
  </si>
  <si>
    <t>2023_5P_80</t>
  </si>
  <si>
    <t>Updated effective date for the feasibility workbook</t>
  </si>
  <si>
    <t>Max 8.908%</t>
  </si>
  <si>
    <t>Max 15 yr- 6.908%, 30 yr- 7.135%</t>
  </si>
  <si>
    <t>Name Manager (not a tab)</t>
  </si>
  <si>
    <t>Annual Update of income limits</t>
  </si>
  <si>
    <t>06/21/2023 (Application FW)</t>
  </si>
  <si>
    <t>08/18/2023 (Disb &amp; PCR FW)</t>
  </si>
  <si>
    <t>Updated the name for the 2023 Income limits USDA_2023_Income_Limits</t>
  </si>
  <si>
    <t>2024_4P_50</t>
  </si>
  <si>
    <t>2024_5P_50</t>
  </si>
  <si>
    <t>2024_4P_80</t>
  </si>
  <si>
    <t>2024_5P_80</t>
  </si>
  <si>
    <t>Posey Co, Indiana</t>
  </si>
  <si>
    <t>Updated USDA income limits to include 2024 data</t>
  </si>
  <si>
    <t>Updated the name for the 2024 Income limits USDA_2024_Income_Limits</t>
  </si>
  <si>
    <t>2025_4P_50</t>
  </si>
  <si>
    <t>2025_5P_50</t>
  </si>
  <si>
    <t>2025_4P_80</t>
  </si>
  <si>
    <t>2025_5P_80</t>
  </si>
  <si>
    <t>Effective Date: 09/01/2025</t>
  </si>
  <si>
    <t>Updated USDA income limits to include 2025 limits</t>
  </si>
  <si>
    <t>Updated the name for the 2025 Income limits USDA_2025_Income_Limits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</si>
</sst>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1">
    <numFmt numFmtId="5" formatCode="&quot;$&quot;#,##0_);\(&quot;$&quot;#,##0\)"/>
    <numFmt numFmtId="6" formatCode="&quot;$&quot;#,##0_);[Red]\(&quot;$&quot;#,##0\)"/>
    <numFmt numFmtId="7" formatCode="&quot;$&quot;#,##0.00_);\(&quot;$&quot;#,##0.00\)"/>
    <numFmt numFmtId="8" formatCode="&quot;$&quot;#,##0.00_);[Red]\(&quot;$&quot;#,##0.00\)"/>
    <numFmt numFmtId="42" formatCode="_(&quot;$&quot;* #,##0_);_(&quot;$&quot;* \(#,##0\);_(&quot;$&quot;* &quot;-&quot;_);_(@_)"/>
    <numFmt numFmtId="41" formatCode="_(* #,##0_);_(* \(#,##0\);_(* &quot;-&quot;_);_(@_)"/>
    <numFmt numFmtId="44" formatCode="_(&quot;$&quot;* #,##0.00_);_(&quot;$&quot;* \(#,##0.00\);_(&quot;$&quot;* &quot;-&quot;??_);_(@_)"/>
    <numFmt numFmtId="43" formatCode="_(* #,##0.00_);_(* \(#,##0.00\);_(* &quot;-&quot;??_);_(@_)"/>
    <numFmt numFmtId="164" formatCode="_(&quot;$&quot;* #,##0_);_(&quot;$&quot;* \(#,##0\);_(&quot;$&quot;* &quot;-&quot;??_);_(@_)"/>
    <numFmt numFmtId="165" formatCode="&quot;$&quot;#,##0"/>
    <numFmt numFmtId="166" formatCode="0.0%"/>
    <numFmt numFmtId="167" formatCode="&quot;$&quot;#,##0.00"/>
    <numFmt numFmtId="168" formatCode="_(* #,##0_);_(* \(#,##0\);_(* &quot;-&quot;??_);_(@_)"/>
    <numFmt numFmtId="169" formatCode="0.000%"/>
    <numFmt numFmtId="170" formatCode="_(&quot;$&quot;* #,##0.000000_);_(&quot;$&quot;* \(#,##0.000000\);_(&quot;$&quot;* &quot;-&quot;??_);_(@_)"/>
    <numFmt numFmtId="171" formatCode="_([$$-409]* #,##0.0000_);_([$$-409]* \(#,##0.0000\);_([$$-409]* &quot;-&quot;??_);_(@_)"/>
    <numFmt numFmtId="172" formatCode="&quot;$&quot;#,##0.0000_);[Red]\(&quot;$&quot;#,##0.0000\)"/>
    <numFmt numFmtId="173" formatCode="0_);[Red]\(0\)"/>
    <numFmt numFmtId="174" formatCode="0.000"/>
    <numFmt numFmtId="175" formatCode="0.000_);[Red]\(0.000\)"/>
    <numFmt numFmtId="176" formatCode="_([$$-409]* #,##0.00_);_([$$-409]* \(#,##0.00\);_([$$-409]* &quot;-&quot;??_);_(@_)"/>
  </numFmts>
  <fonts count="100" x14ac:knownFonts="1">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MS Sans Serif"/>
      <family val="2"/>
    </font>
    <font>
      <sz val="8"/>
      <color indexed="81"/>
      <name val="Tahoma"/>
      <family val="2"/>
    </font>
    <font>
      <sz val="8"/>
      <name val="Arial"/>
      <family val="2"/>
    </font>
    <font>
      <b/>
      <sz val="10"/>
      <name val="Arial"/>
      <family val="2"/>
    </font>
    <font>
      <sz val="11"/>
      <color theme="1"/>
      <name val="Calibri"/>
      <family val="2"/>
    </font>
    <font>
      <u/>
      <sz val="10"/>
      <color theme="10"/>
      <name val="Arial"/>
      <family val="2"/>
    </font>
    <font>
      <sz val="10"/>
      <color theme="0" tint="-0.499984740745262"/>
      <name val="Calibri"/>
      <family val="2"/>
      <scheme val="minor"/>
    </font>
    <font>
      <sz val="10"/>
      <name val="Calibri"/>
      <family val="2"/>
      <scheme val="minor"/>
    </font>
    <font>
      <sz val="9"/>
      <color indexed="81"/>
      <name val="Tahoma"/>
      <family val="2"/>
    </font>
    <font>
      <b/>
      <sz val="9"/>
      <color indexed="81"/>
      <name val="Tahoma"/>
      <family val="2"/>
    </font>
    <font>
      <u/>
      <sz val="11"/>
      <color theme="10"/>
      <name val="Calibri"/>
      <family val="2"/>
    </font>
    <font>
      <sz val="8"/>
      <name val="Helv"/>
    </font>
    <font>
      <sz val="10"/>
      <name val="Arial"/>
      <family val="2"/>
    </font>
    <font>
      <b/>
      <sz val="10"/>
      <name val="Calibri"/>
      <family val="2"/>
      <scheme val="minor"/>
    </font>
    <font>
      <b/>
      <sz val="10"/>
      <color rgb="FFFF0000"/>
      <name val="Calibri"/>
      <family val="2"/>
      <scheme val="minor"/>
    </font>
    <font>
      <sz val="9"/>
      <name val="Calibri"/>
      <family val="2"/>
      <scheme val="minor"/>
    </font>
    <font>
      <sz val="10"/>
      <color indexed="8"/>
      <name val="Calibri"/>
      <family val="2"/>
      <scheme val="minor"/>
    </font>
    <font>
      <sz val="10"/>
      <color rgb="FFFF0000"/>
      <name val="Calibri"/>
      <family val="2"/>
      <scheme val="minor"/>
    </font>
    <font>
      <b/>
      <sz val="8.5"/>
      <name val="Calibri"/>
      <family val="2"/>
      <scheme val="minor"/>
    </font>
    <font>
      <sz val="8.5"/>
      <name val="Calibri"/>
      <family val="2"/>
      <scheme val="minor"/>
    </font>
    <font>
      <b/>
      <sz val="9"/>
      <name val="Calibri"/>
      <family val="2"/>
      <scheme val="minor"/>
    </font>
    <font>
      <sz val="10"/>
      <color theme="0"/>
      <name val="Calibri"/>
      <family val="2"/>
      <scheme val="minor"/>
    </font>
    <font>
      <b/>
      <sz val="10"/>
      <color indexed="8"/>
      <name val="Calibri"/>
      <family val="2"/>
      <scheme val="minor"/>
    </font>
    <font>
      <b/>
      <sz val="18"/>
      <name val="Calibri"/>
      <family val="2"/>
      <scheme val="minor"/>
    </font>
    <font>
      <b/>
      <sz val="20"/>
      <name val="Calibri"/>
      <family val="2"/>
      <scheme val="minor"/>
    </font>
    <font>
      <sz val="13.5"/>
      <color rgb="FFFF0000"/>
      <name val="Calibri"/>
      <family val="2"/>
      <scheme val="minor"/>
    </font>
    <font>
      <b/>
      <sz val="12"/>
      <name val="Calibri"/>
      <family val="2"/>
      <scheme val="minor"/>
    </font>
    <font>
      <b/>
      <sz val="6"/>
      <color indexed="10"/>
      <name val="Calibri"/>
      <family val="2"/>
      <scheme val="minor"/>
    </font>
    <font>
      <b/>
      <sz val="6"/>
      <color theme="0" tint="-0.499984740745262"/>
      <name val="Calibri"/>
      <family val="2"/>
      <scheme val="minor"/>
    </font>
    <font>
      <b/>
      <sz val="10"/>
      <color theme="0"/>
      <name val="Calibri"/>
      <family val="2"/>
      <scheme val="minor"/>
    </font>
    <font>
      <sz val="8"/>
      <name val="Calibri"/>
      <family val="2"/>
      <scheme val="minor"/>
    </font>
    <font>
      <b/>
      <sz val="8"/>
      <name val="Calibri"/>
      <family val="2"/>
      <scheme val="minor"/>
    </font>
    <font>
      <sz val="8.5"/>
      <color theme="0"/>
      <name val="Calibri"/>
      <family val="2"/>
      <scheme val="minor"/>
    </font>
    <font>
      <sz val="10"/>
      <color theme="1"/>
      <name val="Calibri"/>
      <family val="2"/>
      <scheme val="minor"/>
    </font>
    <font>
      <b/>
      <sz val="8"/>
      <color indexed="10"/>
      <name val="Calibri"/>
      <family val="2"/>
      <scheme val="minor"/>
    </font>
    <font>
      <b/>
      <u/>
      <sz val="12"/>
      <name val="Calibri"/>
      <family val="2"/>
      <scheme val="minor"/>
    </font>
    <font>
      <b/>
      <u/>
      <sz val="8"/>
      <name val="Calibri"/>
      <family val="2"/>
      <scheme val="minor"/>
    </font>
    <font>
      <sz val="8"/>
      <color rgb="FFFF0000"/>
      <name val="Calibri"/>
      <family val="2"/>
      <scheme val="minor"/>
    </font>
    <font>
      <sz val="8"/>
      <color theme="0"/>
      <name val="Calibri"/>
      <family val="2"/>
      <scheme val="minor"/>
    </font>
    <font>
      <b/>
      <sz val="8.5"/>
      <color theme="0"/>
      <name val="Calibri"/>
      <family val="2"/>
      <scheme val="minor"/>
    </font>
    <font>
      <b/>
      <sz val="8.5"/>
      <color rgb="FFFF0000"/>
      <name val="Calibri"/>
      <family val="2"/>
      <scheme val="minor"/>
    </font>
    <font>
      <sz val="8"/>
      <color theme="1"/>
      <name val="Calibri"/>
      <family val="2"/>
      <scheme val="minor"/>
    </font>
    <font>
      <b/>
      <sz val="10"/>
      <color theme="9"/>
      <name val="Calibri"/>
      <family val="2"/>
      <scheme val="minor"/>
    </font>
    <font>
      <sz val="8.5"/>
      <name val="Calibri"/>
      <family val="2"/>
      <scheme val="minor"/>
    </font>
    <font>
      <sz val="8"/>
      <name val="Calibri"/>
      <family val="2"/>
      <scheme val="minor"/>
    </font>
    <font>
      <b/>
      <sz val="8.5"/>
      <name val="Calibri"/>
      <family val="2"/>
      <scheme val="minor"/>
    </font>
    <font>
      <b/>
      <sz val="8"/>
      <name val="Calibri"/>
      <family val="2"/>
      <scheme val="minor"/>
    </font>
    <font>
      <b/>
      <sz val="9"/>
      <name val="Calibri"/>
      <family val="2"/>
      <scheme val="minor"/>
    </font>
    <font>
      <sz val="10"/>
      <name val="Calibri"/>
      <family val="2"/>
      <scheme val="minor"/>
    </font>
    <font>
      <b/>
      <u/>
      <sz val="12"/>
      <name val="Calibri"/>
      <family val="2"/>
      <scheme val="minor"/>
    </font>
    <font>
      <sz val="9"/>
      <name val="Calibri"/>
      <family val="2"/>
      <scheme val="minor"/>
    </font>
    <font>
      <sz val="8.5"/>
      <color theme="0"/>
      <name val="Calibri"/>
      <family val="2"/>
      <scheme val="minor"/>
    </font>
    <font>
      <b/>
      <u/>
      <sz val="9"/>
      <name val="Calibri"/>
      <family val="2"/>
      <scheme val="minor"/>
    </font>
    <font>
      <sz val="8"/>
      <color rgb="FFFF0000"/>
      <name val="Calibri"/>
      <family val="2"/>
      <scheme val="minor"/>
    </font>
    <font>
      <sz val="8"/>
      <color theme="0" tint="-0.34998626667073579"/>
      <name val="Calibri"/>
      <family val="2"/>
      <scheme val="minor"/>
    </font>
    <font>
      <sz val="8"/>
      <color theme="0"/>
      <name val="Calibri"/>
      <family val="2"/>
      <scheme val="minor"/>
    </font>
    <font>
      <b/>
      <sz val="10"/>
      <name val="Calibri"/>
      <family val="2"/>
      <scheme val="minor"/>
    </font>
    <font>
      <sz val="10"/>
      <name val="Arial"/>
      <family val="2"/>
    </font>
    <font>
      <sz val="10"/>
      <name val="Arial"/>
      <family val="2"/>
    </font>
    <font>
      <b/>
      <sz val="10"/>
      <color rgb="FFFF0000"/>
      <name val="Arial"/>
      <family val="2"/>
    </font>
    <font>
      <b/>
      <sz val="9"/>
      <color rgb="FFFF0000"/>
      <name val="Arial"/>
      <family val="2"/>
    </font>
    <font>
      <b/>
      <sz val="8.5"/>
      <name val="Calibri"/>
      <family val="2"/>
      <scheme val="minor"/>
    </font>
    <font>
      <sz val="10"/>
      <name val="Calibri"/>
      <family val="2"/>
      <scheme val="minor"/>
    </font>
    <font>
      <b/>
      <sz val="10"/>
      <name val="Calibri"/>
      <family val="2"/>
      <scheme val="minor"/>
    </font>
    <font>
      <sz val="8.5"/>
      <name val="Calibri"/>
      <family val="2"/>
      <scheme val="minor"/>
    </font>
    <font>
      <sz val="10"/>
      <color rgb="FFFF0000"/>
      <name val="Calibri"/>
      <family val="2"/>
      <scheme val="minor"/>
    </font>
    <font>
      <sz val="10"/>
      <color theme="0"/>
      <name val="Calibri"/>
      <family val="2"/>
      <scheme val="minor"/>
    </font>
    <font>
      <b/>
      <sz val="11"/>
      <name val="Calibri"/>
      <family val="2"/>
      <scheme val="minor"/>
    </font>
    <font>
      <sz val="11"/>
      <name val="Calibri"/>
      <family val="2"/>
      <scheme val="minor"/>
    </font>
    <font>
      <sz val="10"/>
      <name val="Calibri"/>
      <family val="2"/>
      <scheme val="minor"/>
    </font>
    <font>
      <b/>
      <sz val="10"/>
      <name val="Calibri"/>
      <family val="2"/>
      <scheme val="minor"/>
    </font>
    <font>
      <b/>
      <sz val="11"/>
      <name val="Calibri"/>
      <family val="2"/>
      <scheme val="minor"/>
    </font>
    <font>
      <sz val="11"/>
      <name val="Calibri"/>
      <family val="2"/>
      <scheme val="minor"/>
    </font>
    <font>
      <sz val="10"/>
      <color indexed="10"/>
      <name val="Calibri"/>
      <family val="2"/>
      <scheme val="minor"/>
    </font>
    <font>
      <sz val="11"/>
      <name val="Arial"/>
      <family val="2"/>
    </font>
    <font>
      <b/>
      <sz val="10"/>
      <name val="Arial"/>
      <family val="2"/>
    </font>
    <font>
      <sz val="10"/>
      <name val="Arial"/>
      <family val="2"/>
    </font>
    <font>
      <sz val="10"/>
      <name val="Arial"/>
      <family val="2"/>
    </font>
    <font>
      <b/>
      <sz val="10"/>
      <name val="Calibri"/>
      <family val="2"/>
      <scheme val="minor"/>
    </font>
    <font>
      <sz val="10"/>
      <name val="Calibri"/>
      <family val="2"/>
      <scheme val="minor"/>
    </font>
    <font>
      <b/>
      <sz val="10"/>
      <color rgb="FFFF0000"/>
      <name val="Calibri"/>
      <family val="2"/>
      <scheme val="minor"/>
    </font>
    <font>
      <sz val="9"/>
      <name val="Calibri"/>
      <family val="2"/>
      <scheme val="minor"/>
    </font>
    <font>
      <sz val="9"/>
      <color rgb="FFFF0000"/>
      <name val="Calibri"/>
      <family val="2"/>
      <scheme val="minor"/>
    </font>
    <font>
      <sz val="10"/>
      <color indexed="8"/>
      <name val="Calibri"/>
      <family val="2"/>
      <scheme val="minor"/>
    </font>
    <font>
      <sz val="10"/>
      <color rgb="FFFF0000"/>
      <name val="Calibri"/>
      <family val="2"/>
      <scheme val="minor"/>
    </font>
    <font>
      <sz val="10"/>
      <name val="Arial"/>
      <family val="2"/>
    </font>
    <font>
      <b/>
      <sz val="14"/>
      <name val="Calibri"/>
      <family val="2"/>
      <scheme val="minor"/>
    </font>
    <font>
      <sz val="8"/>
      <name val="Arial"/>
      <family val="2"/>
    </font>
    <font>
      <sz val="11"/>
      <name val="Calibri"/>
      <family val="2"/>
    </font>
    <font>
      <sz val="8"/>
      <name val="Arial"/>
      <family val="2"/>
    </font>
  </fonts>
  <fills count="36">
    <fill>
      <patternFill patternType="none"/>
    </fill>
    <fill>
      <patternFill patternType="gray125"/>
    </fill>
    <fill>
      <patternFill patternType="solid">
        <fgColor indexed="43"/>
        <bgColor indexed="64"/>
      </patternFill>
    </fill>
    <fill>
      <patternFill patternType="solid">
        <fgColor indexed="65"/>
        <bgColor indexed="64"/>
      </patternFill>
    </fill>
    <fill>
      <patternFill patternType="solid">
        <fgColor theme="8" tint="0.79998168889431442"/>
        <bgColor indexed="64"/>
      </patternFill>
    </fill>
    <fill>
      <patternFill patternType="solid">
        <fgColor rgb="FFFFFF9F"/>
        <bgColor indexed="64"/>
      </patternFill>
    </fill>
    <fill>
      <patternFill patternType="solid">
        <fgColor rgb="FFFFFFA7"/>
        <bgColor indexed="64"/>
      </patternFill>
    </fill>
    <fill>
      <patternFill patternType="solid">
        <fgColor theme="9" tint="0.59999389629810485"/>
        <bgColor indexed="64"/>
      </patternFill>
    </fill>
    <fill>
      <patternFill patternType="solid">
        <fgColor rgb="FFFFFF99"/>
        <bgColor indexed="64"/>
      </patternFill>
    </fill>
    <fill>
      <patternFill patternType="solid">
        <fgColor theme="1" tint="0.499984740745262"/>
        <bgColor indexed="64"/>
      </patternFill>
    </fill>
    <fill>
      <patternFill patternType="solid">
        <fgColor theme="4" tint="0.79998168889431442"/>
        <bgColor indexed="64"/>
      </patternFill>
    </fill>
    <fill>
      <patternFill patternType="solid">
        <fgColor theme="0" tint="-0.14999847407452621"/>
        <bgColor indexed="64"/>
      </patternFill>
    </fill>
    <fill>
      <patternFill patternType="solid">
        <fgColor theme="0" tint="-0.499984740745262"/>
        <bgColor indexed="64"/>
      </patternFill>
    </fill>
    <fill>
      <patternFill patternType="solid">
        <fgColor theme="0"/>
        <bgColor indexed="64"/>
      </patternFill>
    </fill>
    <fill>
      <patternFill patternType="solid">
        <fgColor theme="0" tint="-4.9989318521683403E-2"/>
        <bgColor indexed="64"/>
      </patternFill>
    </fill>
    <fill>
      <patternFill patternType="solid">
        <fgColor rgb="FFFFFF00"/>
        <bgColor indexed="64"/>
      </patternFill>
    </fill>
    <fill>
      <patternFill patternType="solid">
        <fgColor indexed="11"/>
        <bgColor indexed="64"/>
      </patternFill>
    </fill>
    <fill>
      <patternFill patternType="solid">
        <fgColor theme="0" tint="-0.249977111117893"/>
        <bgColor indexed="64"/>
      </patternFill>
    </fill>
    <fill>
      <patternFill patternType="solid">
        <fgColor theme="6" tint="-0.249977111117893"/>
        <bgColor indexed="64"/>
      </patternFill>
    </fill>
    <fill>
      <patternFill patternType="solid">
        <fgColor rgb="FFFF0000"/>
        <bgColor indexed="64"/>
      </patternFill>
    </fill>
    <fill>
      <patternFill patternType="solid">
        <fgColor theme="5"/>
        <bgColor indexed="64"/>
      </patternFill>
    </fill>
    <fill>
      <patternFill patternType="solid">
        <fgColor theme="4"/>
        <bgColor theme="4"/>
      </patternFill>
    </fill>
    <fill>
      <patternFill patternType="solid">
        <fgColor theme="4" tint="0.59999389629810485"/>
        <bgColor theme="4" tint="0.59999389629810485"/>
      </patternFill>
    </fill>
    <fill>
      <patternFill patternType="solid">
        <fgColor theme="4" tint="0.79998168889431442"/>
        <bgColor theme="4" tint="0.79998168889431442"/>
      </patternFill>
    </fill>
    <fill>
      <patternFill patternType="solid">
        <fgColor rgb="FFFFFF66"/>
        <bgColor indexed="64"/>
      </patternFill>
    </fill>
    <fill>
      <patternFill patternType="solid">
        <fgColor rgb="FFFFC000"/>
        <bgColor indexed="64"/>
      </patternFill>
    </fill>
    <fill>
      <patternFill patternType="solid">
        <fgColor theme="8" tint="0.39997558519241921"/>
        <bgColor indexed="64"/>
      </patternFill>
    </fill>
    <fill>
      <patternFill patternType="solid">
        <fgColor theme="7" tint="0.39997558519241921"/>
        <bgColor indexed="64"/>
      </patternFill>
    </fill>
    <fill>
      <patternFill patternType="solid">
        <fgColor theme="6" tint="0.39997558519241921"/>
        <bgColor indexed="64"/>
      </patternFill>
    </fill>
    <fill>
      <patternFill patternType="solid">
        <fgColor theme="2" tint="-0.249977111117893"/>
        <bgColor indexed="64"/>
      </patternFill>
    </fill>
    <fill>
      <patternFill patternType="solid">
        <fgColor theme="3" tint="0.39997558519241921"/>
        <bgColor indexed="64"/>
      </patternFill>
    </fill>
    <fill>
      <patternFill patternType="solid">
        <fgColor theme="9" tint="-0.249977111117893"/>
        <bgColor indexed="64"/>
      </patternFill>
    </fill>
    <fill>
      <patternFill patternType="solid">
        <fgColor theme="1" tint="0.14999847407452621"/>
        <bgColor indexed="64"/>
      </patternFill>
    </fill>
    <fill>
      <patternFill patternType="solid">
        <fgColor theme="1"/>
        <bgColor indexed="64"/>
      </patternFill>
    </fill>
    <fill>
      <patternFill patternType="solid">
        <fgColor theme="6" tint="0.59999389629810485"/>
        <bgColor indexed="64"/>
      </patternFill>
    </fill>
    <fill>
      <patternFill patternType="solid">
        <fgColor rgb="FF92D050"/>
        <bgColor indexed="64"/>
      </patternFill>
    </fill>
  </fills>
  <borders count="99">
    <border>
      <left/>
      <right/>
      <top/>
      <bottom/>
      <diagonal/>
    </border>
    <border>
      <left/>
      <right style="thin">
        <color indexed="64"/>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top/>
      <bottom style="thin">
        <color indexed="64"/>
      </bottom>
      <diagonal/>
    </border>
    <border>
      <left/>
      <right/>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medium">
        <color indexed="64"/>
      </bottom>
      <diagonal/>
    </border>
    <border>
      <left style="thin">
        <color indexed="64"/>
      </left>
      <right/>
      <top style="medium">
        <color indexed="64"/>
      </top>
      <bottom style="thin">
        <color indexed="64"/>
      </bottom>
      <diagonal/>
    </border>
    <border>
      <left style="thin">
        <color indexed="64"/>
      </left>
      <right/>
      <top style="thin">
        <color indexed="64"/>
      </top>
      <bottom style="thin">
        <color indexed="64"/>
      </bottom>
      <diagonal/>
    </border>
    <border>
      <left style="thin">
        <color indexed="64"/>
      </left>
      <right/>
      <top/>
      <bottom style="medium">
        <color indexed="64"/>
      </bottom>
      <diagonal/>
    </border>
    <border>
      <left style="thin">
        <color indexed="64"/>
      </left>
      <right/>
      <top style="thin">
        <color indexed="64"/>
      </top>
      <bottom style="medium">
        <color indexed="64"/>
      </bottom>
      <diagonal/>
    </border>
    <border>
      <left/>
      <right style="thin">
        <color indexed="64"/>
      </right>
      <top style="medium">
        <color indexed="64"/>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
      <left style="thin">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thin">
        <color indexed="64"/>
      </left>
      <right/>
      <top/>
      <bottom/>
      <diagonal/>
    </border>
    <border>
      <left/>
      <right style="medium">
        <color indexed="64"/>
      </right>
      <top/>
      <bottom/>
      <diagonal/>
    </border>
    <border>
      <left style="medium">
        <color indexed="64"/>
      </left>
      <right style="thin">
        <color indexed="64"/>
      </right>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style="medium">
        <color indexed="64"/>
      </bottom>
      <diagonal/>
    </border>
    <border>
      <left/>
      <right/>
      <top style="thin">
        <color indexed="64"/>
      </top>
      <bottom style="thin">
        <color indexed="64"/>
      </bottom>
      <diagonal/>
    </border>
    <border>
      <left/>
      <right/>
      <top style="thin">
        <color indexed="64"/>
      </top>
      <bottom/>
      <diagonal/>
    </border>
    <border>
      <left style="thin">
        <color indexed="64"/>
      </left>
      <right/>
      <top style="thin">
        <color indexed="64"/>
      </top>
      <bottom/>
      <diagonal/>
    </border>
    <border>
      <left style="medium">
        <color indexed="64"/>
      </left>
      <right/>
      <top style="medium">
        <color indexed="64"/>
      </top>
      <bottom style="medium">
        <color indexed="64"/>
      </bottom>
      <diagonal/>
    </border>
    <border>
      <left style="medium">
        <color indexed="64"/>
      </left>
      <right style="thin">
        <color indexed="64"/>
      </right>
      <top/>
      <bottom/>
      <diagonal/>
    </border>
    <border>
      <left style="medium">
        <color indexed="64"/>
      </left>
      <right style="medium">
        <color indexed="64"/>
      </right>
      <top/>
      <bottom style="thin">
        <color indexed="64"/>
      </bottom>
      <diagonal/>
    </border>
    <border>
      <left style="medium">
        <color indexed="64"/>
      </left>
      <right style="medium">
        <color indexed="64"/>
      </right>
      <top/>
      <bottom/>
      <diagonal/>
    </border>
    <border>
      <left/>
      <right style="medium">
        <color indexed="64"/>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thin">
        <color indexed="64"/>
      </right>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bottom/>
      <diagonal/>
    </border>
    <border>
      <left style="thin">
        <color indexed="64"/>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medium">
        <color indexed="64"/>
      </bottom>
      <diagonal/>
    </border>
    <border>
      <left/>
      <right style="medium">
        <color indexed="64"/>
      </right>
      <top/>
      <bottom style="medium">
        <color indexed="64"/>
      </bottom>
      <diagonal/>
    </border>
    <border>
      <left style="thin">
        <color indexed="64"/>
      </left>
      <right/>
      <top/>
      <bottom style="thin">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diagonal/>
    </border>
    <border>
      <left style="medium">
        <color indexed="64"/>
      </left>
      <right style="medium">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top style="medium">
        <color indexed="64"/>
      </top>
      <bottom/>
      <diagonal/>
    </border>
    <border>
      <left/>
      <right style="thin">
        <color indexed="64"/>
      </right>
      <top style="medium">
        <color indexed="64"/>
      </top>
      <bottom/>
      <diagonal/>
    </border>
    <border>
      <left style="medium">
        <color indexed="64"/>
      </left>
      <right/>
      <top/>
      <bottom/>
      <diagonal/>
    </border>
    <border>
      <left style="medium">
        <color indexed="64"/>
      </left>
      <right/>
      <top/>
      <bottom style="medium">
        <color indexed="64"/>
      </bottom>
      <diagonal/>
    </border>
    <border>
      <left/>
      <right style="thin">
        <color indexed="64"/>
      </right>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medium">
        <color indexed="64"/>
      </left>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style="medium">
        <color indexed="64"/>
      </right>
      <top style="medium">
        <color indexed="64"/>
      </top>
      <bottom/>
      <diagonal/>
    </border>
    <border>
      <left/>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bottom style="thin">
        <color indexed="64"/>
      </bottom>
      <diagonal/>
    </border>
    <border>
      <left style="medium">
        <color indexed="64"/>
      </left>
      <right/>
      <top style="medium">
        <color indexed="64"/>
      </top>
      <bottom style="thin">
        <color indexed="64"/>
      </bottom>
      <diagonal/>
    </border>
    <border>
      <left style="thin">
        <color auto="1"/>
      </left>
      <right style="thin">
        <color auto="1"/>
      </right>
      <top style="medium">
        <color auto="1"/>
      </top>
      <bottom style="thin">
        <color auto="1"/>
      </bottom>
      <diagonal/>
    </border>
    <border>
      <left style="thin">
        <color auto="1"/>
      </left>
      <right/>
      <top style="medium">
        <color auto="1"/>
      </top>
      <bottom style="thin">
        <color auto="1"/>
      </bottom>
      <diagonal/>
    </border>
    <border>
      <left/>
      <right/>
      <top style="medium">
        <color auto="1"/>
      </top>
      <bottom/>
      <diagonal/>
    </border>
    <border>
      <left/>
      <right style="medium">
        <color auto="1"/>
      </right>
      <top style="medium">
        <color auto="1"/>
      </top>
      <bottom/>
      <diagonal/>
    </border>
    <border>
      <left style="thin">
        <color auto="1"/>
      </left>
      <right style="thin">
        <color auto="1"/>
      </right>
      <top style="medium">
        <color auto="1"/>
      </top>
      <bottom style="medium">
        <color auto="1"/>
      </bottom>
      <diagonal/>
    </border>
    <border>
      <left style="thin">
        <color auto="1"/>
      </left>
      <right style="medium">
        <color auto="1"/>
      </right>
      <top style="medium">
        <color auto="1"/>
      </top>
      <bottom style="thin">
        <color auto="1"/>
      </bottom>
      <diagonal/>
    </border>
    <border>
      <left style="thin">
        <color auto="1"/>
      </left>
      <right/>
      <top style="medium">
        <color auto="1"/>
      </top>
      <bottom style="medium">
        <color auto="1"/>
      </bottom>
      <diagonal/>
    </border>
    <border>
      <left style="medium">
        <color auto="1"/>
      </left>
      <right/>
      <top style="medium">
        <color auto="1"/>
      </top>
      <bottom/>
      <diagonal/>
    </border>
    <border>
      <left style="medium">
        <color auto="1"/>
      </left>
      <right/>
      <top/>
      <bottom/>
      <diagonal/>
    </border>
    <border>
      <left style="medium">
        <color auto="1"/>
      </left>
      <right style="thin">
        <color auto="1"/>
      </right>
      <top style="medium">
        <color auto="1"/>
      </top>
      <bottom style="medium">
        <color auto="1"/>
      </bottom>
      <diagonal/>
    </border>
    <border>
      <left style="medium">
        <color auto="1"/>
      </left>
      <right style="thin">
        <color auto="1"/>
      </right>
      <top style="medium">
        <color auto="1"/>
      </top>
      <bottom style="thin">
        <color auto="1"/>
      </bottom>
      <diagonal/>
    </border>
    <border>
      <left style="medium">
        <color auto="1"/>
      </left>
      <right/>
      <top style="medium">
        <color auto="1"/>
      </top>
      <bottom/>
      <diagonal/>
    </border>
    <border>
      <left/>
      <right/>
      <top style="medium">
        <color auto="1"/>
      </top>
      <bottom/>
      <diagonal/>
    </border>
    <border>
      <left/>
      <right style="medium">
        <color indexed="64"/>
      </right>
      <top style="medium">
        <color auto="1"/>
      </top>
      <bottom/>
      <diagonal/>
    </border>
    <border>
      <left style="medium">
        <color auto="1"/>
      </left>
      <right/>
      <top style="medium">
        <color auto="1"/>
      </top>
      <bottom/>
      <diagonal/>
    </border>
    <border>
      <left/>
      <right/>
      <top style="medium">
        <color auto="1"/>
      </top>
      <bottom/>
      <diagonal/>
    </border>
    <border>
      <left/>
      <right style="medium">
        <color indexed="64"/>
      </right>
      <top style="medium">
        <color auto="1"/>
      </top>
      <bottom/>
      <diagonal/>
    </border>
    <border>
      <left/>
      <right/>
      <top style="thin">
        <color theme="0"/>
      </top>
      <bottom/>
      <diagonal/>
    </border>
    <border>
      <left/>
      <right/>
      <top style="thick">
        <color theme="0"/>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
      <left style="thin">
        <color auto="1"/>
      </left>
      <right style="thin">
        <color auto="1"/>
      </right>
      <top style="medium">
        <color auto="1"/>
      </top>
      <bottom/>
      <diagonal/>
    </border>
  </borders>
  <cellStyleXfs count="140">
    <xf numFmtId="171" fontId="0" fillId="0" borderId="0"/>
    <xf numFmtId="43" fontId="9" fillId="0" borderId="0" applyFont="0" applyFill="0" applyBorder="0" applyAlignment="0" applyProtection="0"/>
    <xf numFmtId="43" fontId="14" fillId="0" borderId="0" applyFont="0" applyFill="0" applyBorder="0" applyAlignment="0" applyProtection="0"/>
    <xf numFmtId="44" fontId="9" fillId="0" borderId="0" applyFont="0" applyFill="0" applyBorder="0" applyAlignment="0" applyProtection="0"/>
    <xf numFmtId="42" fontId="9" fillId="0" borderId="0" applyFont="0" applyFill="0" applyBorder="0" applyAlignment="0" applyProtection="0"/>
    <xf numFmtId="44" fontId="14" fillId="0" borderId="0" applyFont="0" applyFill="0" applyBorder="0" applyAlignment="0" applyProtection="0"/>
    <xf numFmtId="171" fontId="15" fillId="0" borderId="0" applyNumberFormat="0" applyFill="0" applyBorder="0" applyAlignment="0" applyProtection="0">
      <alignment vertical="top"/>
      <protection locked="0"/>
    </xf>
    <xf numFmtId="171" fontId="10" fillId="0" borderId="0"/>
    <xf numFmtId="171" fontId="14" fillId="0" borderId="0"/>
    <xf numFmtId="9" fontId="9" fillId="0" borderId="0" applyFont="0" applyFill="0" applyBorder="0" applyAlignment="0" applyProtection="0"/>
    <xf numFmtId="9" fontId="14" fillId="0" borderId="0" applyFont="0" applyFill="0" applyBorder="0" applyAlignment="0" applyProtection="0"/>
    <xf numFmtId="171" fontId="9" fillId="0" borderId="0"/>
    <xf numFmtId="171" fontId="9" fillId="0" borderId="0"/>
    <xf numFmtId="171" fontId="9" fillId="0" borderId="0"/>
    <xf numFmtId="171" fontId="8" fillId="0" borderId="0"/>
    <xf numFmtId="44" fontId="8" fillId="0" borderId="0" applyFont="0" applyFill="0" applyBorder="0" applyAlignment="0" applyProtection="0"/>
    <xf numFmtId="9" fontId="8" fillId="0" borderId="0" applyFont="0" applyFill="0" applyBorder="0" applyAlignment="0" applyProtection="0"/>
    <xf numFmtId="171" fontId="9" fillId="0" borderId="0"/>
    <xf numFmtId="44" fontId="9" fillId="0" borderId="0" applyFont="0" applyFill="0" applyBorder="0" applyAlignment="0" applyProtection="0"/>
    <xf numFmtId="43" fontId="9" fillId="0" borderId="0" applyFont="0" applyFill="0" applyBorder="0" applyAlignment="0" applyProtection="0"/>
    <xf numFmtId="44" fontId="9" fillId="0" borderId="0" applyFont="0" applyFill="0" applyBorder="0" applyAlignment="0" applyProtection="0"/>
    <xf numFmtId="42" fontId="9" fillId="0" borderId="0" applyFont="0" applyFill="0" applyBorder="0" applyAlignment="0" applyProtection="0"/>
    <xf numFmtId="9" fontId="9"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4" fontId="9" fillId="0" borderId="0" applyFont="0" applyFill="0" applyBorder="0" applyAlignment="0" applyProtection="0"/>
    <xf numFmtId="42" fontId="9" fillId="0" borderId="0" applyFont="0" applyFill="0" applyBorder="0" applyAlignment="0" applyProtection="0"/>
    <xf numFmtId="9"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171" fontId="9" fillId="0" borderId="0"/>
    <xf numFmtId="44"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9" fontId="9" fillId="0" borderId="0" applyFont="0" applyFill="0" applyBorder="0" applyAlignment="0" applyProtection="0"/>
    <xf numFmtId="171" fontId="9" fillId="0" borderId="0"/>
    <xf numFmtId="44" fontId="9" fillId="0" borderId="0" applyFont="0" applyFill="0" applyBorder="0" applyAlignment="0" applyProtection="0"/>
    <xf numFmtId="171" fontId="20" fillId="0" borderId="0" applyNumberFormat="0" applyFill="0" applyBorder="0" applyAlignment="0" applyProtection="0">
      <alignment vertical="top"/>
      <protection locked="0"/>
    </xf>
    <xf numFmtId="44" fontId="9" fillId="0" borderId="0" applyFont="0" applyFill="0" applyBorder="0" applyAlignment="0" applyProtection="0"/>
    <xf numFmtId="171" fontId="9" fillId="0" borderId="0"/>
    <xf numFmtId="44"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2" fontId="9" fillId="0" borderId="0" applyFont="0" applyFill="0" applyBorder="0" applyAlignment="0" applyProtection="0"/>
    <xf numFmtId="44" fontId="9" fillId="0" borderId="0" applyFont="0" applyFill="0" applyBorder="0" applyAlignment="0" applyProtection="0"/>
    <xf numFmtId="171" fontId="9" fillId="0" borderId="0"/>
    <xf numFmtId="171" fontId="9" fillId="0" borderId="0"/>
    <xf numFmtId="171" fontId="9" fillId="0" borderId="0"/>
    <xf numFmtId="9"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171" fontId="9" fillId="0" borderId="0"/>
    <xf numFmtId="44"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2" fontId="9" fillId="0" borderId="0" applyFont="0" applyFill="0" applyBorder="0" applyAlignment="0" applyProtection="0"/>
    <xf numFmtId="9" fontId="9" fillId="0" borderId="0" applyFont="0" applyFill="0" applyBorder="0" applyAlignment="0" applyProtection="0"/>
    <xf numFmtId="44" fontId="9" fillId="0" borderId="0" applyFont="0" applyFill="0" applyBorder="0" applyAlignment="0" applyProtection="0"/>
    <xf numFmtId="171" fontId="9" fillId="0" borderId="0"/>
    <xf numFmtId="171" fontId="9" fillId="0" borderId="0"/>
    <xf numFmtId="43" fontId="9" fillId="0" borderId="0" applyFont="0" applyFill="0" applyBorder="0" applyAlignment="0" applyProtection="0"/>
    <xf numFmtId="42" fontId="9" fillId="0" borderId="0" applyFont="0" applyFill="0" applyBorder="0" applyAlignment="0" applyProtection="0"/>
    <xf numFmtId="44" fontId="9" fillId="0" borderId="0" applyFont="0" applyFill="0" applyBorder="0" applyAlignment="0" applyProtection="0"/>
    <xf numFmtId="171" fontId="9" fillId="0" borderId="0"/>
    <xf numFmtId="171" fontId="9" fillId="0" borderId="0"/>
    <xf numFmtId="171" fontId="9" fillId="0" borderId="0"/>
    <xf numFmtId="9"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171" fontId="9" fillId="0" borderId="0"/>
    <xf numFmtId="44"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38" fontId="21" fillId="0" borderId="0">
      <protection locked="0"/>
    </xf>
    <xf numFmtId="171" fontId="9" fillId="0" borderId="0"/>
    <xf numFmtId="171" fontId="9" fillId="0" borderId="0"/>
    <xf numFmtId="43" fontId="8" fillId="0" borderId="0" applyFont="0" applyFill="0" applyBorder="0" applyAlignment="0" applyProtection="0"/>
    <xf numFmtId="171" fontId="7" fillId="0" borderId="0"/>
    <xf numFmtId="44" fontId="14" fillId="0" borderId="0" applyFont="0" applyFill="0" applyBorder="0" applyAlignment="0" applyProtection="0"/>
    <xf numFmtId="44" fontId="14" fillId="0" borderId="0" applyFont="0" applyFill="0" applyBorder="0" applyAlignment="0" applyProtection="0"/>
    <xf numFmtId="171" fontId="6" fillId="0" borderId="0"/>
    <xf numFmtId="171" fontId="22" fillId="0" borderId="0"/>
    <xf numFmtId="43" fontId="9" fillId="0" borderId="0" applyFont="0" applyFill="0" applyBorder="0" applyAlignment="0" applyProtection="0"/>
    <xf numFmtId="44" fontId="9" fillId="0" borderId="0" applyFont="0" applyFill="0" applyBorder="0" applyAlignment="0" applyProtection="0"/>
    <xf numFmtId="42" fontId="9" fillId="0" borderId="0" applyFont="0" applyFill="0" applyBorder="0" applyAlignment="0" applyProtection="0"/>
    <xf numFmtId="9" fontId="9" fillId="0" borderId="0" applyFont="0" applyFill="0" applyBorder="0" applyAlignment="0" applyProtection="0"/>
    <xf numFmtId="171" fontId="6" fillId="0" borderId="0"/>
    <xf numFmtId="44" fontId="6" fillId="0" borderId="0" applyFont="0" applyFill="0" applyBorder="0" applyAlignment="0" applyProtection="0"/>
    <xf numFmtId="9" fontId="6" fillId="0" borderId="0" applyFont="0" applyFill="0" applyBorder="0" applyAlignment="0" applyProtection="0"/>
    <xf numFmtId="43" fontId="6" fillId="0" borderId="0" applyFont="0" applyFill="0" applyBorder="0" applyAlignment="0" applyProtection="0"/>
    <xf numFmtId="171" fontId="6" fillId="0" borderId="0"/>
    <xf numFmtId="171" fontId="5" fillId="0" borderId="0"/>
    <xf numFmtId="44" fontId="5" fillId="0" borderId="0" applyFont="0" applyFill="0" applyBorder="0" applyAlignment="0" applyProtection="0"/>
    <xf numFmtId="171" fontId="9" fillId="0" borderId="0"/>
    <xf numFmtId="43" fontId="9" fillId="0" borderId="0" applyFont="0" applyFill="0" applyBorder="0" applyAlignment="0" applyProtection="0"/>
    <xf numFmtId="44" fontId="9" fillId="0" borderId="0" applyFont="0" applyFill="0" applyBorder="0" applyAlignment="0" applyProtection="0"/>
    <xf numFmtId="42" fontId="9" fillId="0" borderId="0" applyFont="0" applyFill="0" applyBorder="0" applyAlignment="0" applyProtection="0"/>
    <xf numFmtId="9" fontId="9" fillId="0" borderId="0" applyFont="0" applyFill="0" applyBorder="0" applyAlignment="0" applyProtection="0"/>
    <xf numFmtId="171" fontId="5" fillId="0" borderId="0"/>
    <xf numFmtId="44" fontId="5" fillId="0" borderId="0" applyFont="0" applyFill="0" applyBorder="0" applyAlignment="0" applyProtection="0"/>
    <xf numFmtId="9" fontId="5" fillId="0" borderId="0" applyFont="0" applyFill="0" applyBorder="0" applyAlignment="0" applyProtection="0"/>
    <xf numFmtId="43" fontId="5" fillId="0" borderId="0" applyFont="0" applyFill="0" applyBorder="0" applyAlignment="0" applyProtection="0"/>
    <xf numFmtId="171" fontId="5" fillId="0" borderId="0"/>
    <xf numFmtId="171" fontId="5" fillId="0" borderId="0"/>
    <xf numFmtId="171" fontId="9" fillId="0" borderId="0"/>
    <xf numFmtId="171" fontId="5" fillId="0" borderId="0"/>
    <xf numFmtId="44" fontId="5" fillId="0" borderId="0" applyFont="0" applyFill="0" applyBorder="0" applyAlignment="0" applyProtection="0"/>
    <xf numFmtId="9" fontId="5" fillId="0" borderId="0" applyFont="0" applyFill="0" applyBorder="0" applyAlignment="0" applyProtection="0"/>
    <xf numFmtId="43" fontId="5" fillId="0" borderId="0" applyFont="0" applyFill="0" applyBorder="0" applyAlignment="0" applyProtection="0"/>
    <xf numFmtId="171" fontId="5" fillId="0" borderId="0"/>
    <xf numFmtId="171" fontId="4" fillId="0" borderId="0"/>
    <xf numFmtId="9" fontId="4" fillId="0" borderId="0" applyFont="0" applyFill="0" applyBorder="0" applyAlignment="0" applyProtection="0"/>
    <xf numFmtId="44" fontId="2" fillId="0" borderId="0" applyFont="0" applyFill="0" applyBorder="0" applyAlignment="0" applyProtection="0"/>
    <xf numFmtId="0" fontId="10" fillId="0" borderId="0"/>
    <xf numFmtId="0" fontId="95" fillId="0" borderId="0"/>
    <xf numFmtId="0" fontId="14" fillId="0" borderId="0"/>
    <xf numFmtId="44" fontId="1" fillId="0" borderId="0" applyFont="0" applyFill="0" applyBorder="0" applyAlignment="0" applyProtection="0"/>
    <xf numFmtId="44" fontId="1" fillId="0" borderId="0" applyFont="0" applyFill="0" applyBorder="0" applyAlignment="0" applyProtection="0"/>
  </cellStyleXfs>
  <cellXfs count="1134">
    <xf numFmtId="171" fontId="0" fillId="0" borderId="0" xfId="0"/>
    <xf numFmtId="171" fontId="16" fillId="0" borderId="0" xfId="0" applyFont="1" applyProtection="1"/>
    <xf numFmtId="171" fontId="17" fillId="0" borderId="0" xfId="0" applyFont="1" applyProtection="1"/>
    <xf numFmtId="49" fontId="8" fillId="0" borderId="0" xfId="14" applyNumberFormat="1" applyAlignment="1">
      <alignment horizontal="center"/>
    </xf>
    <xf numFmtId="49" fontId="8" fillId="0" borderId="0" xfId="14" applyNumberFormat="1"/>
    <xf numFmtId="171" fontId="8" fillId="0" borderId="0" xfId="14"/>
    <xf numFmtId="171" fontId="8" fillId="0" borderId="4" xfId="14" applyBorder="1"/>
    <xf numFmtId="3" fontId="8" fillId="0" borderId="0" xfId="14" applyNumberFormat="1"/>
    <xf numFmtId="165" fontId="8" fillId="0" borderId="0" xfId="14" applyNumberFormat="1"/>
    <xf numFmtId="9" fontId="8" fillId="0" borderId="0" xfId="14" applyNumberFormat="1"/>
    <xf numFmtId="10" fontId="8" fillId="0" borderId="0" xfId="16" applyNumberFormat="1" applyFont="1"/>
    <xf numFmtId="6" fontId="8" fillId="0" borderId="0" xfId="14" applyNumberFormat="1"/>
    <xf numFmtId="167" fontId="8" fillId="0" borderId="0" xfId="14" applyNumberFormat="1"/>
    <xf numFmtId="1" fontId="8" fillId="0" borderId="0" xfId="14" applyNumberFormat="1"/>
    <xf numFmtId="172" fontId="8" fillId="0" borderId="0" xfId="14" applyNumberFormat="1"/>
    <xf numFmtId="165" fontId="8" fillId="0" borderId="0" xfId="14" applyNumberFormat="1" applyFill="1"/>
    <xf numFmtId="171" fontId="8" fillId="0" borderId="0" xfId="16" applyNumberFormat="1" applyFont="1"/>
    <xf numFmtId="171" fontId="0" fillId="0" borderId="0" xfId="0" quotePrefix="1"/>
    <xf numFmtId="5" fontId="0" fillId="0" borderId="0" xfId="0" applyNumberFormat="1"/>
    <xf numFmtId="171" fontId="8" fillId="0" borderId="0" xfId="14" applyNumberFormat="1"/>
    <xf numFmtId="171" fontId="17" fillId="0" borderId="0" xfId="0" applyFont="1" applyAlignment="1" applyProtection="1">
      <alignment vertical="center"/>
    </xf>
    <xf numFmtId="171" fontId="17" fillId="0" borderId="0" xfId="0" applyFont="1" applyAlignment="1" applyProtection="1">
      <alignment horizontal="right" vertical="center"/>
    </xf>
    <xf numFmtId="171" fontId="25" fillId="0" borderId="0" xfId="0" applyFont="1" applyFill="1" applyProtection="1"/>
    <xf numFmtId="168" fontId="25" fillId="0" borderId="0" xfId="0" applyNumberFormat="1" applyFont="1" applyFill="1" applyBorder="1" applyAlignment="1" applyProtection="1">
      <alignment horizontal="center"/>
    </xf>
    <xf numFmtId="171" fontId="25" fillId="0" borderId="0" xfId="0" applyFont="1" applyFill="1" applyBorder="1" applyAlignment="1" applyProtection="1">
      <alignment horizontal="left"/>
    </xf>
    <xf numFmtId="171" fontId="25" fillId="0" borderId="0" xfId="0" applyFont="1" applyFill="1" applyBorder="1" applyAlignment="1" applyProtection="1">
      <alignment horizontal="center"/>
    </xf>
    <xf numFmtId="171" fontId="25" fillId="0" borderId="0" xfId="0" applyFont="1" applyFill="1" applyAlignment="1" applyProtection="1">
      <alignment horizontal="center"/>
    </xf>
    <xf numFmtId="168" fontId="25" fillId="0" borderId="0" xfId="0" applyNumberFormat="1" applyFont="1" applyFill="1" applyProtection="1"/>
    <xf numFmtId="10" fontId="25" fillId="0" borderId="0" xfId="9" applyNumberFormat="1" applyFont="1" applyFill="1" applyBorder="1" applyAlignment="1" applyProtection="1">
      <alignment horizontal="right"/>
    </xf>
    <xf numFmtId="10" fontId="25" fillId="0" borderId="0" xfId="9" applyNumberFormat="1" applyFont="1" applyFill="1" applyAlignment="1" applyProtection="1">
      <alignment horizontal="right"/>
    </xf>
    <xf numFmtId="171" fontId="25" fillId="0" borderId="0" xfId="0" applyFont="1" applyFill="1" applyAlignment="1" applyProtection="1"/>
    <xf numFmtId="171" fontId="25" fillId="0" borderId="0" xfId="0" applyFont="1" applyFill="1" applyAlignment="1" applyProtection="1">
      <alignment wrapText="1"/>
    </xf>
    <xf numFmtId="168" fontId="25" fillId="0" borderId="0" xfId="0" applyNumberFormat="1" applyFont="1" applyFill="1" applyAlignment="1" applyProtection="1">
      <alignment wrapText="1"/>
    </xf>
    <xf numFmtId="171" fontId="25" fillId="0" borderId="0" xfId="0" applyFont="1" applyFill="1" applyAlignment="1" applyProtection="1">
      <alignment horizontal="left"/>
    </xf>
    <xf numFmtId="3" fontId="25" fillId="0" borderId="0" xfId="0" applyNumberFormat="1" applyFont="1" applyFill="1" applyBorder="1" applyProtection="1"/>
    <xf numFmtId="171" fontId="25" fillId="0" borderId="0" xfId="0" applyFont="1" applyFill="1" applyAlignment="1" applyProtection="1">
      <alignment horizontal="center" vertical="center"/>
    </xf>
    <xf numFmtId="171" fontId="25" fillId="0" borderId="0" xfId="0" applyFont="1" applyFill="1" applyAlignment="1" applyProtection="1">
      <alignment horizontal="left" vertical="center"/>
    </xf>
    <xf numFmtId="168" fontId="25" fillId="0" borderId="0" xfId="0" applyNumberFormat="1" applyFont="1" applyFill="1" applyAlignment="1" applyProtection="1">
      <alignment horizontal="center" vertical="center"/>
    </xf>
    <xf numFmtId="171" fontId="17" fillId="0" borderId="0" xfId="0" applyFont="1" applyBorder="1" applyProtection="1"/>
    <xf numFmtId="171" fontId="23" fillId="0" borderId="0" xfId="0" applyFont="1" applyFill="1" applyProtection="1"/>
    <xf numFmtId="171" fontId="17" fillId="0" borderId="0" xfId="0" applyFont="1" applyFill="1" applyBorder="1" applyProtection="1"/>
    <xf numFmtId="168" fontId="25" fillId="0" borderId="0" xfId="1" applyNumberFormat="1" applyFont="1" applyFill="1" applyBorder="1" applyAlignment="1" applyProtection="1">
      <alignment horizontal="center"/>
    </xf>
    <xf numFmtId="171" fontId="23" fillId="13" borderId="0" xfId="0" applyFont="1" applyFill="1" applyAlignment="1" applyProtection="1"/>
    <xf numFmtId="171" fontId="17" fillId="13" borderId="0" xfId="0" applyFont="1" applyFill="1" applyProtection="1"/>
    <xf numFmtId="171" fontId="23" fillId="0" borderId="0" xfId="0" applyFont="1" applyAlignment="1" applyProtection="1"/>
    <xf numFmtId="49" fontId="17" fillId="0" borderId="0" xfId="0" applyNumberFormat="1" applyFont="1" applyProtection="1"/>
    <xf numFmtId="171" fontId="31" fillId="0" borderId="0" xfId="0" applyFont="1" applyProtection="1"/>
    <xf numFmtId="171" fontId="17" fillId="0" borderId="0" xfId="0" applyFont="1" applyAlignment="1" applyProtection="1">
      <alignment horizontal="left"/>
    </xf>
    <xf numFmtId="171" fontId="17" fillId="0" borderId="0" xfId="0" applyFont="1" applyAlignment="1" applyProtection="1">
      <alignment horizontal="centerContinuous"/>
    </xf>
    <xf numFmtId="171" fontId="31" fillId="13" borderId="0" xfId="0" applyNumberFormat="1" applyFont="1" applyFill="1" applyProtection="1"/>
    <xf numFmtId="171" fontId="29" fillId="0" borderId="0" xfId="0" applyFont="1" applyProtection="1"/>
    <xf numFmtId="171" fontId="17" fillId="0" borderId="36" xfId="0" applyFont="1" applyBorder="1" applyProtection="1"/>
    <xf numFmtId="171" fontId="29" fillId="0" borderId="17" xfId="0" applyFont="1" applyBorder="1" applyProtection="1"/>
    <xf numFmtId="171" fontId="29" fillId="0" borderId="18" xfId="0" applyFont="1" applyBorder="1" applyProtection="1"/>
    <xf numFmtId="171" fontId="33" fillId="0" borderId="18" xfId="0" applyFont="1" applyBorder="1" applyProtection="1"/>
    <xf numFmtId="171" fontId="17" fillId="0" borderId="18" xfId="0" applyFont="1" applyBorder="1" applyProtection="1"/>
    <xf numFmtId="171" fontId="29" fillId="0" borderId="19" xfId="0" applyFont="1" applyBorder="1" applyProtection="1"/>
    <xf numFmtId="171" fontId="28" fillId="0" borderId="29" xfId="0" applyFont="1" applyBorder="1" applyAlignment="1" applyProtection="1">
      <alignment horizontal="center" vertical="center" wrapText="1"/>
    </xf>
    <xf numFmtId="171" fontId="29" fillId="0" borderId="22" xfId="0" applyFont="1" applyBorder="1" applyAlignment="1" applyProtection="1">
      <alignment horizontal="center"/>
    </xf>
    <xf numFmtId="1" fontId="28" fillId="0" borderId="2" xfId="3" applyNumberFormat="1" applyFont="1" applyFill="1" applyBorder="1" applyAlignment="1" applyProtection="1">
      <alignment horizontal="center"/>
    </xf>
    <xf numFmtId="167" fontId="29" fillId="0" borderId="2" xfId="3" applyNumberFormat="1" applyFont="1" applyFill="1" applyBorder="1" applyAlignment="1" applyProtection="1">
      <alignment horizontal="center"/>
    </xf>
    <xf numFmtId="167" fontId="29" fillId="0" borderId="23" xfId="3" applyNumberFormat="1" applyFont="1" applyFill="1" applyBorder="1" applyAlignment="1" applyProtection="1">
      <alignment horizontal="center"/>
    </xf>
    <xf numFmtId="171" fontId="29" fillId="0" borderId="24" xfId="0" applyFont="1" applyBorder="1" applyAlignment="1" applyProtection="1">
      <alignment horizontal="center"/>
    </xf>
    <xf numFmtId="167" fontId="29" fillId="0" borderId="8" xfId="3" applyNumberFormat="1" applyFont="1" applyFill="1" applyBorder="1" applyAlignment="1" applyProtection="1">
      <alignment horizontal="center"/>
    </xf>
    <xf numFmtId="171" fontId="23" fillId="0" borderId="28" xfId="0" applyFont="1" applyBorder="1" applyAlignment="1" applyProtection="1">
      <alignment horizontal="centerContinuous" vertical="center" wrapText="1"/>
    </xf>
    <xf numFmtId="171" fontId="23" fillId="0" borderId="33" xfId="0" applyFont="1" applyBorder="1" applyAlignment="1" applyProtection="1">
      <alignment horizontal="centerContinuous" vertical="center" wrapText="1"/>
    </xf>
    <xf numFmtId="171" fontId="23" fillId="0" borderId="34" xfId="0" applyFont="1" applyBorder="1" applyAlignment="1" applyProtection="1">
      <alignment horizontal="center" vertical="center" wrapText="1"/>
    </xf>
    <xf numFmtId="171" fontId="28" fillId="0" borderId="17" xfId="0" applyFont="1" applyBorder="1" applyAlignment="1" applyProtection="1">
      <alignment horizontal="center" vertical="center" wrapText="1"/>
    </xf>
    <xf numFmtId="171" fontId="28" fillId="0" borderId="49" xfId="0" applyFont="1" applyBorder="1" applyAlignment="1" applyProtection="1">
      <alignment horizontal="center" vertical="center" wrapText="1"/>
    </xf>
    <xf numFmtId="171" fontId="23" fillId="0" borderId="32" xfId="0" applyFont="1" applyBorder="1" applyAlignment="1" applyProtection="1">
      <alignment horizontal="center" vertical="center" wrapText="1"/>
    </xf>
    <xf numFmtId="171" fontId="29" fillId="0" borderId="16" xfId="0" applyFont="1" applyFill="1" applyBorder="1" applyAlignment="1" applyProtection="1">
      <alignment horizontal="center"/>
    </xf>
    <xf numFmtId="44" fontId="17" fillId="0" borderId="44" xfId="3" applyFont="1" applyFill="1" applyBorder="1" applyAlignment="1" applyProtection="1">
      <alignment horizontal="center"/>
    </xf>
    <xf numFmtId="171" fontId="29" fillId="0" borderId="14" xfId="0" applyFont="1" applyFill="1" applyBorder="1" applyAlignment="1" applyProtection="1">
      <alignment horizontal="center"/>
    </xf>
    <xf numFmtId="44" fontId="17" fillId="0" borderId="10" xfId="3" applyFont="1" applyFill="1" applyBorder="1" applyAlignment="1" applyProtection="1">
      <alignment horizontal="center"/>
    </xf>
    <xf numFmtId="171" fontId="29" fillId="0" borderId="15" xfId="0" applyFont="1" applyFill="1" applyBorder="1" applyAlignment="1" applyProtection="1">
      <alignment horizontal="center"/>
    </xf>
    <xf numFmtId="171" fontId="29" fillId="0" borderId="8" xfId="0" applyFont="1" applyFill="1" applyBorder="1" applyAlignment="1" applyProtection="1">
      <alignment horizontal="center"/>
    </xf>
    <xf numFmtId="44" fontId="17" fillId="0" borderId="12" xfId="3" applyFont="1" applyFill="1" applyBorder="1" applyAlignment="1" applyProtection="1">
      <alignment horizontal="center"/>
    </xf>
    <xf numFmtId="171" fontId="29" fillId="0" borderId="13" xfId="0" applyFont="1" applyFill="1" applyBorder="1" applyAlignment="1" applyProtection="1">
      <alignment horizontal="center"/>
    </xf>
    <xf numFmtId="44" fontId="17" fillId="0" borderId="9" xfId="3" applyFont="1" applyFill="1" applyBorder="1" applyAlignment="1" applyProtection="1">
      <alignment horizontal="center"/>
    </xf>
    <xf numFmtId="171" fontId="29" fillId="0" borderId="2" xfId="0" applyFont="1" applyFill="1" applyBorder="1" applyAlignment="1" applyProtection="1">
      <alignment horizontal="center"/>
    </xf>
    <xf numFmtId="171" fontId="29" fillId="0" borderId="18" xfId="0" applyFont="1" applyFill="1" applyBorder="1" applyAlignment="1" applyProtection="1">
      <alignment horizontal="center"/>
    </xf>
    <xf numFmtId="171" fontId="29" fillId="0" borderId="18" xfId="0" applyFont="1" applyBorder="1" applyAlignment="1" applyProtection="1">
      <alignment horizontal="center"/>
    </xf>
    <xf numFmtId="171" fontId="29" fillId="0" borderId="5" xfId="0" applyFont="1" applyFill="1" applyBorder="1" applyAlignment="1" applyProtection="1">
      <alignment horizontal="center"/>
    </xf>
    <xf numFmtId="171" fontId="29" fillId="0" borderId="5" xfId="0" applyFont="1" applyBorder="1" applyAlignment="1" applyProtection="1">
      <alignment horizontal="center"/>
    </xf>
    <xf numFmtId="2" fontId="25" fillId="0" borderId="0" xfId="0" applyNumberFormat="1" applyFont="1" applyBorder="1" applyProtection="1"/>
    <xf numFmtId="171" fontId="30" fillId="0" borderId="0" xfId="0" applyFont="1" applyAlignment="1" applyProtection="1">
      <alignment horizontal="center"/>
    </xf>
    <xf numFmtId="171" fontId="30" fillId="0" borderId="0" xfId="0" applyFont="1" applyProtection="1"/>
    <xf numFmtId="171" fontId="25" fillId="0" borderId="0" xfId="0" applyFont="1" applyAlignment="1" applyProtection="1">
      <alignment horizontal="center"/>
    </xf>
    <xf numFmtId="171" fontId="25" fillId="15" borderId="95" xfId="0" applyFont="1" applyFill="1" applyBorder="1" applyProtection="1"/>
    <xf numFmtId="171" fontId="25" fillId="15" borderId="96" xfId="0" applyFont="1" applyFill="1" applyBorder="1" applyProtection="1"/>
    <xf numFmtId="171" fontId="37" fillId="0" borderId="0" xfId="0" applyFont="1" applyBorder="1" applyAlignment="1" applyProtection="1">
      <alignment horizontal="right"/>
    </xf>
    <xf numFmtId="171" fontId="25" fillId="15" borderId="97" xfId="0" applyFont="1" applyFill="1" applyBorder="1" applyProtection="1"/>
    <xf numFmtId="165" fontId="17" fillId="9" borderId="6" xfId="0" applyNumberFormat="1" applyFont="1" applyFill="1" applyBorder="1" applyAlignment="1" applyProtection="1">
      <alignment horizontal="center"/>
    </xf>
    <xf numFmtId="165" fontId="17" fillId="9" borderId="2" xfId="0" applyNumberFormat="1" applyFont="1" applyFill="1" applyBorder="1" applyAlignment="1" applyProtection="1">
      <alignment horizontal="center"/>
    </xf>
    <xf numFmtId="165" fontId="17" fillId="9" borderId="8" xfId="0" applyNumberFormat="1" applyFont="1" applyFill="1" applyBorder="1" applyAlignment="1" applyProtection="1">
      <alignment horizontal="center"/>
    </xf>
    <xf numFmtId="171" fontId="29" fillId="0" borderId="3" xfId="0" applyFont="1" applyFill="1" applyBorder="1" applyAlignment="1" applyProtection="1">
      <alignment horizontal="center"/>
    </xf>
    <xf numFmtId="171" fontId="38" fillId="0" borderId="0" xfId="0" applyFont="1" applyBorder="1" applyProtection="1"/>
    <xf numFmtId="171" fontId="17" fillId="0" borderId="0" xfId="0" applyFont="1" applyAlignment="1" applyProtection="1">
      <alignment horizontal="right"/>
    </xf>
    <xf numFmtId="171" fontId="37" fillId="0" borderId="0" xfId="0" applyFont="1" applyAlignment="1" applyProtection="1">
      <alignment horizontal="right"/>
    </xf>
    <xf numFmtId="171" fontId="28" fillId="0" borderId="0" xfId="0" applyFont="1" applyFill="1" applyProtection="1"/>
    <xf numFmtId="49" fontId="31" fillId="0" borderId="0" xfId="0" applyNumberFormat="1" applyFont="1" applyProtection="1"/>
    <xf numFmtId="171" fontId="17" fillId="0" borderId="0" xfId="0" applyFont="1"/>
    <xf numFmtId="171" fontId="17" fillId="0" borderId="0" xfId="0" applyFont="1" applyAlignment="1" applyProtection="1"/>
    <xf numFmtId="171" fontId="28" fillId="0" borderId="0" xfId="0" applyFont="1" applyAlignment="1" applyProtection="1">
      <alignment horizontal="center" vertical="center"/>
    </xf>
    <xf numFmtId="171" fontId="29" fillId="0" borderId="0" xfId="0" applyFont="1" applyAlignment="1" applyProtection="1">
      <alignment horizontal="center" vertical="center"/>
    </xf>
    <xf numFmtId="171" fontId="17" fillId="0" borderId="0" xfId="0" applyFont="1" applyFill="1" applyBorder="1" applyAlignment="1" applyProtection="1">
      <alignment vertical="center"/>
    </xf>
    <xf numFmtId="171" fontId="17" fillId="0" borderId="0" xfId="0" applyFont="1" applyFill="1" applyAlignment="1" applyProtection="1">
      <alignment vertical="center"/>
    </xf>
    <xf numFmtId="165" fontId="17" fillId="0" borderId="0" xfId="3" applyNumberFormat="1" applyFont="1" applyFill="1" applyBorder="1" applyAlignment="1" applyProtection="1">
      <alignment horizontal="center" vertical="center"/>
    </xf>
    <xf numFmtId="1" fontId="31" fillId="0" borderId="0" xfId="0" applyNumberFormat="1" applyFont="1" applyAlignment="1" applyProtection="1">
      <alignment vertical="center"/>
    </xf>
    <xf numFmtId="171" fontId="31" fillId="0" borderId="0" xfId="0" applyFont="1" applyAlignment="1" applyProtection="1">
      <alignment vertical="center"/>
    </xf>
    <xf numFmtId="171" fontId="42" fillId="0" borderId="0" xfId="0" applyFont="1" applyAlignment="1" applyProtection="1">
      <alignment vertical="center"/>
    </xf>
    <xf numFmtId="49" fontId="31" fillId="0" borderId="0" xfId="0" applyNumberFormat="1" applyFont="1" applyBorder="1" applyAlignment="1" applyProtection="1">
      <alignment vertical="center"/>
    </xf>
    <xf numFmtId="171" fontId="17" fillId="0" borderId="0" xfId="0" applyFont="1" applyAlignment="1" applyProtection="1">
      <alignment horizontal="center" vertical="center"/>
    </xf>
    <xf numFmtId="14" fontId="17" fillId="0" borderId="0" xfId="0" applyNumberFormat="1" applyFont="1" applyAlignment="1" applyProtection="1">
      <alignment vertical="center"/>
    </xf>
    <xf numFmtId="171" fontId="23" fillId="0" borderId="47" xfId="0" applyFont="1" applyBorder="1" applyAlignment="1" applyProtection="1">
      <alignment horizontal="center" vertical="center" wrapText="1"/>
    </xf>
    <xf numFmtId="171" fontId="23" fillId="0" borderId="0" xfId="0" applyFont="1" applyBorder="1" applyAlignment="1" applyProtection="1">
      <alignment horizontal="center" vertical="center" wrapText="1"/>
    </xf>
    <xf numFmtId="171" fontId="17" fillId="0" borderId="0" xfId="0" applyFont="1" applyAlignment="1" applyProtection="1">
      <alignment vertical="center" wrapText="1"/>
    </xf>
    <xf numFmtId="171" fontId="17" fillId="0" borderId="75" xfId="0" applyFont="1" applyBorder="1" applyAlignment="1" applyProtection="1">
      <alignment horizontal="left" vertical="center"/>
    </xf>
    <xf numFmtId="171" fontId="17" fillId="0" borderId="13" xfId="0" applyFont="1" applyBorder="1" applyAlignment="1" applyProtection="1">
      <alignment horizontal="left" vertical="center"/>
    </xf>
    <xf numFmtId="171" fontId="17" fillId="0" borderId="6" xfId="0" applyFont="1" applyFill="1" applyBorder="1" applyAlignment="1" applyProtection="1">
      <alignment horizontal="center" vertical="center" shrinkToFit="1"/>
    </xf>
    <xf numFmtId="164" fontId="17" fillId="4" borderId="6" xfId="0" applyNumberFormat="1" applyFont="1" applyFill="1" applyBorder="1" applyAlignment="1" applyProtection="1">
      <alignment vertical="center"/>
      <protection locked="0"/>
    </xf>
    <xf numFmtId="169" fontId="17" fillId="4" borderId="6" xfId="9" applyNumberFormat="1" applyFont="1" applyFill="1" applyBorder="1" applyAlignment="1" applyProtection="1">
      <alignment vertical="center"/>
      <protection locked="0"/>
    </xf>
    <xf numFmtId="1" fontId="17" fillId="4" borderId="6" xfId="9" applyNumberFormat="1" applyFont="1" applyFill="1" applyBorder="1" applyAlignment="1" applyProtection="1">
      <alignment vertical="center"/>
      <protection locked="0"/>
    </xf>
    <xf numFmtId="1" fontId="17" fillId="4" borderId="6" xfId="0" applyNumberFormat="1" applyFont="1" applyFill="1" applyBorder="1" applyAlignment="1" applyProtection="1">
      <alignment vertical="center"/>
      <protection locked="0"/>
    </xf>
    <xf numFmtId="167" fontId="17" fillId="4" borderId="6" xfId="0" applyNumberFormat="1" applyFont="1" applyFill="1" applyBorder="1" applyAlignment="1" applyProtection="1">
      <alignment vertical="center"/>
      <protection locked="0"/>
    </xf>
    <xf numFmtId="14" fontId="17" fillId="4" borderId="6" xfId="0" applyNumberFormat="1" applyFont="1" applyFill="1" applyBorder="1" applyAlignment="1" applyProtection="1">
      <alignment vertical="center"/>
      <protection locked="0"/>
    </xf>
    <xf numFmtId="42" fontId="17" fillId="4" borderId="6" xfId="4" applyFont="1" applyFill="1" applyBorder="1" applyAlignment="1" applyProtection="1">
      <alignment horizontal="right" vertical="center"/>
      <protection locked="0"/>
    </xf>
    <xf numFmtId="44" fontId="17" fillId="0" borderId="38" xfId="3" applyFont="1" applyFill="1" applyBorder="1" applyAlignment="1" applyProtection="1">
      <alignment vertical="center"/>
    </xf>
    <xf numFmtId="8" fontId="17" fillId="0" borderId="3" xfId="0" applyNumberFormat="1" applyFont="1" applyBorder="1" applyAlignment="1" applyProtection="1">
      <alignment horizontal="center" vertical="center"/>
    </xf>
    <xf numFmtId="10" fontId="17" fillId="0" borderId="66" xfId="0" applyNumberFormat="1" applyFont="1" applyBorder="1" applyAlignment="1" applyProtection="1">
      <alignment vertical="center"/>
    </xf>
    <xf numFmtId="171" fontId="39" fillId="21" borderId="0" xfId="0" applyFont="1" applyFill="1" applyBorder="1" applyAlignment="1">
      <alignment vertical="center"/>
    </xf>
    <xf numFmtId="174" fontId="17" fillId="0" borderId="0" xfId="0" applyNumberFormat="1" applyFont="1" applyAlignment="1" applyProtection="1">
      <alignment horizontal="center" vertical="center"/>
    </xf>
    <xf numFmtId="171" fontId="17" fillId="13" borderId="0" xfId="0" applyFont="1" applyFill="1" applyAlignment="1" applyProtection="1">
      <alignment vertical="center"/>
    </xf>
    <xf numFmtId="171" fontId="17" fillId="0" borderId="62" xfId="0" applyFont="1" applyBorder="1" applyAlignment="1" applyProtection="1">
      <alignment horizontal="left" vertical="center"/>
    </xf>
    <xf numFmtId="171" fontId="17" fillId="0" borderId="14" xfId="0" applyFont="1" applyBorder="1" applyAlignment="1" applyProtection="1">
      <alignment horizontal="left" vertical="center"/>
    </xf>
    <xf numFmtId="171" fontId="17" fillId="0" borderId="2" xfId="0" applyFont="1" applyFill="1" applyBorder="1" applyAlignment="1" applyProtection="1">
      <alignment horizontal="center" vertical="center" shrinkToFit="1"/>
    </xf>
    <xf numFmtId="164" fontId="17" fillId="4" borderId="14" xfId="48" applyNumberFormat="1" applyFont="1" applyFill="1" applyBorder="1" applyAlignment="1" applyProtection="1">
      <alignment vertical="center"/>
      <protection locked="0"/>
    </xf>
    <xf numFmtId="169" fontId="17" fillId="13" borderId="2" xfId="9" applyNumberFormat="1" applyFont="1" applyFill="1" applyBorder="1" applyAlignment="1" applyProtection="1">
      <alignment vertical="center"/>
    </xf>
    <xf numFmtId="1" fontId="17" fillId="13" borderId="2" xfId="9" applyNumberFormat="1" applyFont="1" applyFill="1" applyBorder="1" applyAlignment="1" applyProtection="1">
      <alignment vertical="center"/>
    </xf>
    <xf numFmtId="1" fontId="17" fillId="13" borderId="2" xfId="0" applyNumberFormat="1" applyFont="1" applyFill="1" applyBorder="1" applyAlignment="1" applyProtection="1">
      <alignment vertical="center"/>
    </xf>
    <xf numFmtId="167" fontId="17" fillId="13" borderId="3" xfId="0" applyNumberFormat="1" applyFont="1" applyFill="1" applyBorder="1" applyAlignment="1" applyProtection="1">
      <alignment vertical="center"/>
    </xf>
    <xf numFmtId="14" fontId="17" fillId="13" borderId="2" xfId="0" applyNumberFormat="1" applyFont="1" applyFill="1" applyBorder="1" applyAlignment="1" applyProtection="1">
      <alignment vertical="center"/>
    </xf>
    <xf numFmtId="8" fontId="17" fillId="13" borderId="2" xfId="4" applyNumberFormat="1" applyFont="1" applyFill="1" applyBorder="1" applyAlignment="1" applyProtection="1">
      <alignment horizontal="right" vertical="center"/>
    </xf>
    <xf numFmtId="44" fontId="17" fillId="0" borderId="23" xfId="3" applyFont="1" applyFill="1" applyBorder="1" applyAlignment="1" applyProtection="1">
      <alignment vertical="center"/>
    </xf>
    <xf numFmtId="8" fontId="17" fillId="0" borderId="2" xfId="0" applyNumberFormat="1" applyFont="1" applyBorder="1" applyAlignment="1" applyProtection="1">
      <alignment horizontal="center" vertical="center"/>
    </xf>
    <xf numFmtId="171" fontId="17" fillId="0" borderId="23" xfId="0" applyFont="1" applyBorder="1" applyAlignment="1" applyProtection="1">
      <alignment vertical="center"/>
    </xf>
    <xf numFmtId="171" fontId="43" fillId="22" borderId="94" xfId="0" applyFont="1" applyFill="1" applyBorder="1" applyAlignment="1">
      <alignment vertical="center"/>
    </xf>
    <xf numFmtId="10" fontId="17" fillId="0" borderId="0" xfId="9" applyNumberFormat="1" applyFont="1" applyAlignment="1" applyProtection="1">
      <alignment vertical="center"/>
    </xf>
    <xf numFmtId="1" fontId="17" fillId="0" borderId="0" xfId="0" applyNumberFormat="1" applyFont="1" applyAlignment="1" applyProtection="1">
      <alignment vertical="center"/>
    </xf>
    <xf numFmtId="171" fontId="17" fillId="0" borderId="48" xfId="0" applyFont="1" applyFill="1" applyBorder="1" applyAlignment="1" applyProtection="1">
      <alignment vertical="center"/>
    </xf>
    <xf numFmtId="171" fontId="17" fillId="4" borderId="14" xfId="0" applyFont="1" applyFill="1" applyBorder="1" applyAlignment="1" applyProtection="1">
      <alignment vertical="center" wrapText="1"/>
      <protection locked="0"/>
    </xf>
    <xf numFmtId="169" fontId="17" fillId="4" borderId="2" xfId="9" applyNumberFormat="1" applyFont="1" applyFill="1" applyBorder="1" applyAlignment="1" applyProtection="1">
      <alignment vertical="center"/>
      <protection locked="0"/>
    </xf>
    <xf numFmtId="1" fontId="17" fillId="4" borderId="2" xfId="9" applyNumberFormat="1" applyFont="1" applyFill="1" applyBorder="1" applyAlignment="1" applyProtection="1">
      <alignment vertical="center"/>
      <protection locked="0"/>
    </xf>
    <xf numFmtId="167" fontId="17" fillId="4" borderId="3" xfId="9" applyNumberFormat="1" applyFont="1" applyFill="1" applyBorder="1" applyAlignment="1" applyProtection="1">
      <alignment vertical="center"/>
      <protection locked="0"/>
    </xf>
    <xf numFmtId="14" fontId="17" fillId="4" borderId="2" xfId="0" applyNumberFormat="1" applyFont="1" applyFill="1" applyBorder="1" applyAlignment="1" applyProtection="1">
      <alignment vertical="center"/>
      <protection locked="0"/>
    </xf>
    <xf numFmtId="8" fontId="17" fillId="4" borderId="2" xfId="4" applyNumberFormat="1" applyFont="1" applyFill="1" applyBorder="1" applyAlignment="1" applyProtection="1">
      <alignment horizontal="right" vertical="center"/>
      <protection locked="0"/>
    </xf>
    <xf numFmtId="10" fontId="17" fillId="0" borderId="23" xfId="0" applyNumberFormat="1" applyFont="1" applyBorder="1" applyAlignment="1" applyProtection="1">
      <alignment vertical="center"/>
    </xf>
    <xf numFmtId="171" fontId="43" fillId="23" borderId="93" xfId="0" applyFont="1" applyFill="1" applyBorder="1" applyAlignment="1">
      <alignment vertical="center"/>
    </xf>
    <xf numFmtId="171" fontId="17" fillId="0" borderId="62" xfId="0" applyFont="1" applyFill="1" applyBorder="1" applyAlignment="1" applyProtection="1">
      <alignment horizontal="left" vertical="center"/>
    </xf>
    <xf numFmtId="171" fontId="17" fillId="0" borderId="14" xfId="0" applyFont="1" applyFill="1" applyBorder="1" applyAlignment="1" applyProtection="1">
      <alignment horizontal="left" vertical="center"/>
    </xf>
    <xf numFmtId="171" fontId="43" fillId="0" borderId="93" xfId="0" applyFont="1" applyFill="1" applyBorder="1" applyAlignment="1">
      <alignment vertical="center"/>
    </xf>
    <xf numFmtId="164" fontId="17" fillId="4" borderId="2" xfId="48" applyNumberFormat="1" applyFont="1" applyFill="1" applyBorder="1" applyAlignment="1" applyProtection="1">
      <alignment vertical="center"/>
      <protection locked="0"/>
    </xf>
    <xf numFmtId="1" fontId="17" fillId="4" borderId="2" xfId="0" applyNumberFormat="1" applyFont="1" applyFill="1" applyBorder="1" applyAlignment="1" applyProtection="1">
      <alignment vertical="center"/>
      <protection locked="0"/>
    </xf>
    <xf numFmtId="167" fontId="17" fillId="4" borderId="3" xfId="0" applyNumberFormat="1" applyFont="1" applyFill="1" applyBorder="1" applyAlignment="1" applyProtection="1">
      <alignment vertical="center"/>
      <protection locked="0"/>
    </xf>
    <xf numFmtId="42" fontId="17" fillId="4" borderId="2" xfId="4" applyFont="1" applyFill="1" applyBorder="1" applyAlignment="1" applyProtection="1">
      <alignment horizontal="right" vertical="center"/>
      <protection locked="0"/>
    </xf>
    <xf numFmtId="171" fontId="17" fillId="4" borderId="2" xfId="48" applyFont="1" applyFill="1" applyBorder="1" applyAlignment="1" applyProtection="1">
      <alignment horizontal="center" vertical="center" shrinkToFit="1"/>
      <protection locked="0"/>
    </xf>
    <xf numFmtId="164" fontId="17" fillId="4" borderId="2" xfId="0" applyNumberFormat="1" applyFont="1" applyFill="1" applyBorder="1" applyAlignment="1" applyProtection="1">
      <alignment vertical="center"/>
      <protection locked="0"/>
    </xf>
    <xf numFmtId="164" fontId="17" fillId="4" borderId="14" xfId="0" applyNumberFormat="1" applyFont="1" applyFill="1" applyBorder="1" applyAlignment="1" applyProtection="1">
      <alignment vertical="center"/>
      <protection locked="0"/>
    </xf>
    <xf numFmtId="1" fontId="17" fillId="4" borderId="7" xfId="0" applyNumberFormat="1" applyFont="1" applyFill="1" applyBorder="1" applyAlignment="1" applyProtection="1">
      <alignment vertical="center"/>
      <protection locked="0"/>
    </xf>
    <xf numFmtId="167" fontId="17" fillId="4" borderId="2" xfId="0" applyNumberFormat="1" applyFont="1" applyFill="1" applyBorder="1" applyAlignment="1" applyProtection="1">
      <alignment vertical="center"/>
      <protection locked="0"/>
    </xf>
    <xf numFmtId="164" fontId="17" fillId="4" borderId="8" xfId="0" applyNumberFormat="1" applyFont="1" applyFill="1" applyBorder="1" applyAlignment="1" applyProtection="1">
      <alignment vertical="center"/>
      <protection locked="0"/>
    </xf>
    <xf numFmtId="169" fontId="17" fillId="4" borderId="8" xfId="9" applyNumberFormat="1" applyFont="1" applyFill="1" applyBorder="1" applyAlignment="1" applyProtection="1">
      <alignment vertical="center"/>
      <protection locked="0"/>
    </xf>
    <xf numFmtId="1" fontId="17" fillId="4" borderId="8" xfId="9" applyNumberFormat="1" applyFont="1" applyFill="1" applyBorder="1" applyAlignment="1" applyProtection="1">
      <alignment vertical="center"/>
      <protection locked="0"/>
    </xf>
    <xf numFmtId="1" fontId="17" fillId="4" borderId="8" xfId="0" applyNumberFormat="1" applyFont="1" applyFill="1" applyBorder="1" applyAlignment="1" applyProtection="1">
      <alignment vertical="center"/>
      <protection locked="0"/>
    </xf>
    <xf numFmtId="167" fontId="17" fillId="4" borderId="8" xfId="0" applyNumberFormat="1" applyFont="1" applyFill="1" applyBorder="1" applyAlignment="1" applyProtection="1">
      <alignment vertical="center"/>
      <protection locked="0"/>
    </xf>
    <xf numFmtId="14" fontId="17" fillId="4" borderId="8" xfId="0" applyNumberFormat="1" applyFont="1" applyFill="1" applyBorder="1" applyAlignment="1" applyProtection="1">
      <alignment vertical="center"/>
      <protection locked="0"/>
    </xf>
    <xf numFmtId="42" fontId="17" fillId="4" borderId="8" xfId="4" applyFont="1" applyFill="1" applyBorder="1" applyAlignment="1" applyProtection="1">
      <alignment horizontal="right" vertical="center"/>
      <protection locked="0"/>
    </xf>
    <xf numFmtId="44" fontId="17" fillId="0" borderId="40" xfId="3" applyFont="1" applyFill="1" applyBorder="1" applyAlignment="1" applyProtection="1">
      <alignment vertical="center"/>
    </xf>
    <xf numFmtId="8" fontId="17" fillId="0" borderId="8" xfId="0" applyNumberFormat="1" applyFont="1" applyBorder="1" applyAlignment="1" applyProtection="1">
      <alignment horizontal="center" vertical="center"/>
    </xf>
    <xf numFmtId="10" fontId="17" fillId="0" borderId="40" xfId="0" applyNumberFormat="1" applyFont="1" applyBorder="1" applyAlignment="1" applyProtection="1">
      <alignment vertical="center"/>
    </xf>
    <xf numFmtId="164" fontId="17" fillId="0" borderId="0" xfId="0" applyNumberFormat="1" applyFont="1" applyAlignment="1" applyProtection="1">
      <alignment vertical="center"/>
    </xf>
    <xf numFmtId="171" fontId="23" fillId="0" borderId="58" xfId="0" applyFont="1" applyBorder="1" applyAlignment="1" applyProtection="1">
      <alignment horizontal="left" vertical="center"/>
    </xf>
    <xf numFmtId="171" fontId="23" fillId="0" borderId="59" xfId="0" applyFont="1" applyBorder="1" applyAlignment="1" applyProtection="1">
      <alignment horizontal="left" vertical="center"/>
    </xf>
    <xf numFmtId="171" fontId="17" fillId="0" borderId="35" xfId="0" applyFont="1" applyBorder="1" applyAlignment="1" applyProtection="1">
      <alignment vertical="center"/>
    </xf>
    <xf numFmtId="164" fontId="17" fillId="0" borderId="35" xfId="3" applyNumberFormat="1" applyFont="1" applyBorder="1" applyAlignment="1" applyProtection="1">
      <alignment vertical="center"/>
    </xf>
    <xf numFmtId="165" fontId="17" fillId="0" borderId="35" xfId="3" applyNumberFormat="1" applyFont="1" applyBorder="1" applyAlignment="1" applyProtection="1">
      <alignment vertical="center"/>
    </xf>
    <xf numFmtId="10" fontId="17" fillId="0" borderId="35" xfId="0" applyNumberFormat="1" applyFont="1" applyBorder="1" applyAlignment="1" applyProtection="1">
      <alignment vertical="center"/>
    </xf>
    <xf numFmtId="164" fontId="17" fillId="0" borderId="35" xfId="3" applyNumberFormat="1" applyFont="1" applyBorder="1" applyAlignment="1" applyProtection="1">
      <alignment horizontal="center" vertical="center"/>
    </xf>
    <xf numFmtId="164" fontId="17" fillId="0" borderId="11" xfId="3" applyNumberFormat="1" applyFont="1" applyBorder="1" applyAlignment="1" applyProtection="1">
      <alignment vertical="center"/>
    </xf>
    <xf numFmtId="171" fontId="27" fillId="0" borderId="35" xfId="0" applyFont="1" applyFill="1" applyBorder="1" applyAlignment="1" applyProtection="1">
      <alignment vertical="center"/>
    </xf>
    <xf numFmtId="171" fontId="17" fillId="0" borderId="54" xfId="0" applyFont="1" applyBorder="1" applyAlignment="1" applyProtection="1">
      <alignment vertical="center"/>
    </xf>
    <xf numFmtId="171" fontId="29" fillId="0" borderId="0" xfId="0" applyFont="1" applyAlignment="1" applyProtection="1">
      <alignment vertical="center"/>
    </xf>
    <xf numFmtId="171" fontId="23" fillId="0" borderId="0" xfId="0" applyFont="1" applyBorder="1" applyAlignment="1" applyProtection="1">
      <alignment vertical="center"/>
    </xf>
    <xf numFmtId="171" fontId="17" fillId="0" borderId="0" xfId="0" applyFont="1" applyBorder="1" applyAlignment="1" applyProtection="1">
      <alignment vertical="center"/>
    </xf>
    <xf numFmtId="164" fontId="17" fillId="0" borderId="0" xfId="3" applyNumberFormat="1" applyFont="1" applyBorder="1" applyAlignment="1" applyProtection="1">
      <alignment horizontal="center" vertical="center"/>
    </xf>
    <xf numFmtId="164" fontId="17" fillId="0" borderId="0" xfId="3" applyNumberFormat="1" applyFont="1" applyBorder="1" applyAlignment="1" applyProtection="1">
      <alignment vertical="center"/>
    </xf>
    <xf numFmtId="171" fontId="27" fillId="0" borderId="0" xfId="0" applyFont="1" applyBorder="1" applyAlignment="1" applyProtection="1">
      <alignment horizontal="center" vertical="center"/>
    </xf>
    <xf numFmtId="171" fontId="29" fillId="0" borderId="0" xfId="0" applyFont="1" applyFill="1" applyAlignment="1" applyProtection="1">
      <alignment vertical="center"/>
    </xf>
    <xf numFmtId="171" fontId="31" fillId="0" borderId="0" xfId="0" applyFont="1" applyAlignment="1" applyProtection="1">
      <alignment horizontal="right" vertical="center"/>
    </xf>
    <xf numFmtId="171" fontId="23" fillId="0" borderId="0" xfId="0" applyFont="1" applyAlignment="1" applyProtection="1">
      <alignment horizontal="right" vertical="center"/>
    </xf>
    <xf numFmtId="170" fontId="17" fillId="4" borderId="2" xfId="3" applyNumberFormat="1" applyFont="1" applyFill="1" applyBorder="1" applyAlignment="1" applyProtection="1">
      <alignment vertical="center"/>
      <protection locked="0"/>
    </xf>
    <xf numFmtId="165" fontId="17" fillId="0" borderId="0" xfId="3" applyNumberFormat="1" applyFont="1" applyFill="1" applyBorder="1" applyAlignment="1" applyProtection="1">
      <alignment vertical="center"/>
    </xf>
    <xf numFmtId="165" fontId="23" fillId="11" borderId="47" xfId="3" applyNumberFormat="1" applyFont="1" applyFill="1" applyBorder="1" applyAlignment="1" applyProtection="1">
      <alignment vertical="center"/>
    </xf>
    <xf numFmtId="171" fontId="17" fillId="4" borderId="2" xfId="3" applyNumberFormat="1" applyFont="1" applyFill="1" applyBorder="1" applyAlignment="1" applyProtection="1">
      <alignment vertical="center"/>
      <protection locked="0"/>
    </xf>
    <xf numFmtId="49" fontId="31" fillId="0" borderId="0" xfId="0" applyNumberFormat="1" applyFont="1" applyAlignment="1" applyProtection="1">
      <alignment vertical="center"/>
    </xf>
    <xf numFmtId="171" fontId="23" fillId="0" borderId="45" xfId="0" applyFont="1" applyBorder="1" applyAlignment="1" applyProtection="1">
      <alignment horizontal="center" vertical="center" wrapText="1"/>
    </xf>
    <xf numFmtId="171" fontId="23" fillId="0" borderId="0" xfId="0" applyFont="1" applyFill="1" applyBorder="1" applyAlignment="1" applyProtection="1">
      <alignment horizontal="center" vertical="center" wrapText="1"/>
    </xf>
    <xf numFmtId="171" fontId="23" fillId="0" borderId="46" xfId="0" applyFont="1" applyBorder="1" applyAlignment="1" applyProtection="1">
      <alignment horizontal="center" vertical="center" wrapText="1"/>
    </xf>
    <xf numFmtId="171" fontId="23" fillId="0" borderId="82" xfId="0" applyFont="1" applyBorder="1" applyAlignment="1" applyProtection="1">
      <alignment horizontal="center" vertical="center" wrapText="1"/>
    </xf>
    <xf numFmtId="171" fontId="17" fillId="0" borderId="69" xfId="0" applyFont="1" applyFill="1" applyBorder="1" applyAlignment="1" applyProtection="1">
      <alignment vertical="center"/>
    </xf>
    <xf numFmtId="171" fontId="17" fillId="4" borderId="13" xfId="0" applyFont="1" applyFill="1" applyBorder="1" applyAlignment="1" applyProtection="1">
      <alignment vertical="center" wrapText="1"/>
      <protection locked="0"/>
    </xf>
    <xf numFmtId="171" fontId="17" fillId="13" borderId="6" xfId="0" applyFont="1" applyFill="1" applyBorder="1" applyAlignment="1" applyProtection="1">
      <alignment horizontal="center" vertical="center" shrinkToFit="1"/>
    </xf>
    <xf numFmtId="165" fontId="17" fillId="4" borderId="13" xfId="0" applyNumberFormat="1" applyFont="1" applyFill="1" applyBorder="1" applyAlignment="1" applyProtection="1">
      <alignment vertical="center"/>
      <protection locked="0"/>
    </xf>
    <xf numFmtId="165" fontId="17" fillId="4" borderId="6" xfId="9" applyNumberFormat="1" applyFont="1" applyFill="1" applyBorder="1" applyAlignment="1" applyProtection="1">
      <alignment vertical="center"/>
      <protection locked="0"/>
    </xf>
    <xf numFmtId="165" fontId="17" fillId="13" borderId="38" xfId="9" applyNumberFormat="1" applyFont="1" applyFill="1" applyBorder="1" applyAlignment="1" applyProtection="1">
      <alignment vertical="center"/>
      <protection locked="0"/>
    </xf>
    <xf numFmtId="1" fontId="17" fillId="0" borderId="0" xfId="9" applyNumberFormat="1" applyFont="1" applyFill="1" applyBorder="1" applyAlignment="1" applyProtection="1">
      <alignment vertical="center"/>
    </xf>
    <xf numFmtId="171" fontId="17" fillId="0" borderId="76" xfId="0" applyFont="1" applyFill="1" applyBorder="1" applyAlignment="1" applyProtection="1">
      <alignment horizontal="center" vertical="center" shrinkToFit="1"/>
    </xf>
    <xf numFmtId="169" fontId="17" fillId="0" borderId="77" xfId="9" applyNumberFormat="1" applyFont="1" applyFill="1" applyBorder="1" applyAlignment="1" applyProtection="1">
      <alignment vertical="center"/>
    </xf>
    <xf numFmtId="1" fontId="17" fillId="0" borderId="81" xfId="9" applyNumberFormat="1" applyFont="1" applyFill="1" applyBorder="1" applyAlignment="1" applyProtection="1">
      <alignment vertical="center"/>
    </xf>
    <xf numFmtId="8" fontId="17" fillId="0" borderId="0" xfId="0" applyNumberFormat="1" applyFont="1" applyBorder="1" applyAlignment="1" applyProtection="1">
      <alignment horizontal="center" vertical="center"/>
    </xf>
    <xf numFmtId="171" fontId="17" fillId="4" borderId="2" xfId="0" applyFont="1" applyFill="1" applyBorder="1" applyAlignment="1" applyProtection="1">
      <alignment horizontal="center" vertical="center" shrinkToFit="1"/>
      <protection locked="0"/>
    </xf>
    <xf numFmtId="165" fontId="17" fillId="4" borderId="14" xfId="0" applyNumberFormat="1" applyFont="1" applyFill="1" applyBorder="1" applyAlignment="1" applyProtection="1">
      <alignment vertical="center"/>
      <protection locked="0"/>
    </xf>
    <xf numFmtId="165" fontId="17" fillId="4" borderId="2" xfId="9" applyNumberFormat="1" applyFont="1" applyFill="1" applyBorder="1" applyAlignment="1" applyProtection="1">
      <alignment vertical="center"/>
      <protection locked="0"/>
    </xf>
    <xf numFmtId="165" fontId="17" fillId="13" borderId="23" xfId="9" applyNumberFormat="1" applyFont="1" applyFill="1" applyBorder="1" applyAlignment="1" applyProtection="1">
      <alignment vertical="center"/>
      <protection locked="0"/>
    </xf>
    <xf numFmtId="169" fontId="17" fillId="13" borderId="10" xfId="9" applyNumberFormat="1" applyFont="1" applyFill="1" applyBorder="1" applyAlignment="1" applyProtection="1">
      <alignment vertical="center"/>
    </xf>
    <xf numFmtId="1" fontId="17" fillId="13" borderId="23" xfId="9" applyNumberFormat="1" applyFont="1" applyFill="1" applyBorder="1" applyAlignment="1" applyProtection="1">
      <alignment vertical="center"/>
    </xf>
    <xf numFmtId="171" fontId="17" fillId="0" borderId="62" xfId="0" applyFont="1" applyFill="1" applyBorder="1" applyAlignment="1" applyProtection="1">
      <alignment vertical="center"/>
    </xf>
    <xf numFmtId="171" fontId="17" fillId="13" borderId="2" xfId="0" applyFont="1" applyFill="1" applyBorder="1" applyAlignment="1" applyProtection="1">
      <alignment horizontal="center" vertical="center" shrinkToFit="1"/>
    </xf>
    <xf numFmtId="165" fontId="17" fillId="4" borderId="74" xfId="9" applyNumberFormat="1" applyFont="1" applyFill="1" applyBorder="1" applyAlignment="1" applyProtection="1">
      <alignment vertical="center"/>
      <protection locked="0"/>
    </xf>
    <xf numFmtId="169" fontId="17" fillId="4" borderId="10" xfId="9" applyNumberFormat="1" applyFont="1" applyFill="1" applyBorder="1" applyAlignment="1" applyProtection="1">
      <alignment vertical="center"/>
      <protection locked="0"/>
    </xf>
    <xf numFmtId="165" fontId="17" fillId="4" borderId="66" xfId="9" applyNumberFormat="1" applyFont="1" applyFill="1" applyBorder="1" applyAlignment="1" applyProtection="1">
      <alignment vertical="center"/>
      <protection locked="0"/>
    </xf>
    <xf numFmtId="171" fontId="17" fillId="4" borderId="8" xfId="0" applyFont="1" applyFill="1" applyBorder="1" applyAlignment="1" applyProtection="1">
      <alignment horizontal="center" vertical="center" shrinkToFit="1"/>
      <protection locked="0"/>
    </xf>
    <xf numFmtId="165" fontId="17" fillId="4" borderId="61" xfId="0" applyNumberFormat="1" applyFont="1" applyFill="1" applyBorder="1" applyAlignment="1" applyProtection="1">
      <alignment vertical="center"/>
      <protection locked="0"/>
    </xf>
    <xf numFmtId="165" fontId="17" fillId="4" borderId="8" xfId="9" applyNumberFormat="1" applyFont="1" applyFill="1" applyBorder="1" applyAlignment="1" applyProtection="1">
      <alignment vertical="center"/>
      <protection locked="0"/>
    </xf>
    <xf numFmtId="165" fontId="17" fillId="13" borderId="40" xfId="9" applyNumberFormat="1" applyFont="1" applyFill="1" applyBorder="1" applyAlignment="1" applyProtection="1">
      <alignment vertical="center"/>
      <protection locked="0"/>
    </xf>
    <xf numFmtId="169" fontId="17" fillId="4" borderId="12" xfId="9" applyNumberFormat="1" applyFont="1" applyFill="1" applyBorder="1" applyAlignment="1" applyProtection="1">
      <alignment vertical="center"/>
      <protection locked="0"/>
    </xf>
    <xf numFmtId="165" fontId="17" fillId="4" borderId="54" xfId="9" applyNumberFormat="1" applyFont="1" applyFill="1" applyBorder="1" applyAlignment="1" applyProtection="1">
      <alignment vertical="center"/>
      <protection locked="0"/>
    </xf>
    <xf numFmtId="171" fontId="17" fillId="0" borderId="34" xfId="0" applyFont="1" applyBorder="1" applyAlignment="1" applyProtection="1">
      <alignment vertical="center"/>
    </xf>
    <xf numFmtId="164" fontId="17" fillId="0" borderId="34" xfId="0" applyNumberFormat="1" applyFont="1" applyBorder="1" applyAlignment="1" applyProtection="1">
      <alignment vertical="center"/>
    </xf>
    <xf numFmtId="164" fontId="17" fillId="0" borderId="47" xfId="0" applyNumberFormat="1" applyFont="1" applyBorder="1" applyAlignment="1" applyProtection="1">
      <alignment vertical="center"/>
    </xf>
    <xf numFmtId="171" fontId="17" fillId="0" borderId="80" xfId="0" applyFont="1" applyBorder="1" applyAlignment="1" applyProtection="1">
      <alignment vertical="center"/>
    </xf>
    <xf numFmtId="44" fontId="17" fillId="0" borderId="80" xfId="3" applyFont="1" applyBorder="1" applyAlignment="1" applyProtection="1">
      <alignment vertical="center"/>
    </xf>
    <xf numFmtId="171" fontId="17" fillId="0" borderId="82" xfId="0" applyFont="1" applyBorder="1" applyAlignment="1" applyProtection="1">
      <alignment vertical="center"/>
    </xf>
    <xf numFmtId="164" fontId="17" fillId="0" borderId="49" xfId="3" applyNumberFormat="1" applyFont="1" applyBorder="1" applyAlignment="1" applyProtection="1">
      <alignment vertical="center"/>
    </xf>
    <xf numFmtId="171" fontId="44" fillId="0" borderId="0" xfId="0" applyFont="1" applyFill="1" applyBorder="1" applyAlignment="1" applyProtection="1">
      <alignment vertical="center" wrapText="1"/>
    </xf>
    <xf numFmtId="171" fontId="39" fillId="0" borderId="0" xfId="0" applyFont="1" applyBorder="1" applyAlignment="1" applyProtection="1">
      <alignment horizontal="right" vertical="center"/>
    </xf>
    <xf numFmtId="10" fontId="17" fillId="0" borderId="0" xfId="9" applyNumberFormat="1" applyFont="1" applyBorder="1" applyAlignment="1" applyProtection="1">
      <alignment vertical="center"/>
    </xf>
    <xf numFmtId="171" fontId="23" fillId="0" borderId="0" xfId="0" applyFont="1" applyFill="1" applyAlignment="1" applyProtection="1">
      <alignment vertical="center"/>
    </xf>
    <xf numFmtId="171" fontId="23" fillId="0" borderId="0" xfId="0" applyFont="1" applyAlignment="1" applyProtection="1">
      <alignment vertical="center"/>
    </xf>
    <xf numFmtId="9" fontId="28" fillId="4" borderId="2" xfId="9" applyFont="1" applyFill="1" applyBorder="1" applyAlignment="1" applyProtection="1">
      <alignment horizontal="center" vertical="center"/>
      <protection locked="0"/>
    </xf>
    <xf numFmtId="1" fontId="28" fillId="5" borderId="0" xfId="0" applyNumberFormat="1" applyFont="1" applyFill="1" applyBorder="1" applyAlignment="1" applyProtection="1">
      <alignment horizontal="center" vertical="center"/>
    </xf>
    <xf numFmtId="49" fontId="28" fillId="13" borderId="7" xfId="9" applyNumberFormat="1" applyFont="1" applyFill="1" applyBorder="1" applyAlignment="1" applyProtection="1">
      <alignment horizontal="center" vertical="center"/>
    </xf>
    <xf numFmtId="171" fontId="40" fillId="0" borderId="0" xfId="0" applyFont="1" applyAlignment="1" applyProtection="1">
      <alignment vertical="center"/>
    </xf>
    <xf numFmtId="171" fontId="28" fillId="0" borderId="0" xfId="0" applyFont="1" applyAlignment="1" applyProtection="1">
      <alignment vertical="center"/>
    </xf>
    <xf numFmtId="171" fontId="28" fillId="0" borderId="0" xfId="0" applyFont="1" applyAlignment="1" applyProtection="1">
      <alignment horizontal="left" vertical="center"/>
    </xf>
    <xf numFmtId="171" fontId="40" fillId="0" borderId="0" xfId="0" applyFont="1" applyFill="1" applyAlignment="1" applyProtection="1">
      <alignment vertical="center"/>
    </xf>
    <xf numFmtId="171" fontId="48" fillId="0" borderId="0" xfId="0" applyFont="1" applyFill="1" applyAlignment="1" applyProtection="1">
      <alignment horizontal="left" vertical="center"/>
    </xf>
    <xf numFmtId="171" fontId="48" fillId="0" borderId="0" xfId="0" applyFont="1" applyFill="1" applyAlignment="1" applyProtection="1">
      <alignment vertical="center"/>
    </xf>
    <xf numFmtId="171" fontId="49" fillId="0" borderId="0" xfId="0" applyFont="1" applyFill="1" applyAlignment="1" applyProtection="1">
      <alignment horizontal="center" vertical="center"/>
    </xf>
    <xf numFmtId="171" fontId="49" fillId="0" borderId="0" xfId="0" applyFont="1" applyFill="1" applyAlignment="1" applyProtection="1">
      <alignment vertical="center"/>
    </xf>
    <xf numFmtId="171" fontId="41" fillId="0" borderId="0" xfId="0" applyFont="1" applyAlignment="1" applyProtection="1">
      <alignment vertical="center"/>
    </xf>
    <xf numFmtId="171" fontId="41" fillId="0" borderId="0" xfId="0" applyFont="1" applyAlignment="1" applyProtection="1">
      <alignment horizontal="right" vertical="center"/>
    </xf>
    <xf numFmtId="171" fontId="45" fillId="0" borderId="0" xfId="0" applyFont="1" applyFill="1" applyAlignment="1" applyProtection="1">
      <alignment vertical="center"/>
    </xf>
    <xf numFmtId="168" fontId="40" fillId="0" borderId="0" xfId="1" applyNumberFormat="1" applyFont="1" applyAlignment="1" applyProtection="1">
      <alignment vertical="center"/>
    </xf>
    <xf numFmtId="171" fontId="49" fillId="13" borderId="0" xfId="0" applyFont="1" applyFill="1" applyAlignment="1" applyProtection="1">
      <alignment horizontal="right" vertical="center"/>
    </xf>
    <xf numFmtId="171" fontId="45" fillId="0" borderId="0" xfId="0" applyFont="1" applyFill="1" applyBorder="1" applyAlignment="1" applyProtection="1">
      <alignment vertical="center"/>
    </xf>
    <xf numFmtId="171" fontId="29" fillId="0" borderId="0" xfId="0" applyFont="1" applyAlignment="1" applyProtection="1">
      <alignment horizontal="right" vertical="center"/>
    </xf>
    <xf numFmtId="171" fontId="48" fillId="13" borderId="0" xfId="0" applyFont="1" applyFill="1" applyAlignment="1" applyProtection="1">
      <alignment vertical="center"/>
    </xf>
    <xf numFmtId="9" fontId="40" fillId="4" borderId="2" xfId="9" applyFont="1" applyFill="1" applyBorder="1" applyAlignment="1" applyProtection="1">
      <alignment horizontal="center" vertical="center"/>
      <protection locked="0"/>
    </xf>
    <xf numFmtId="171" fontId="42" fillId="13" borderId="0" xfId="0" applyFont="1" applyFill="1" applyAlignment="1" applyProtection="1">
      <alignment vertical="center"/>
    </xf>
    <xf numFmtId="9" fontId="29" fillId="0" borderId="0" xfId="0" applyNumberFormat="1" applyFont="1" applyAlignment="1" applyProtection="1">
      <alignment vertical="center"/>
    </xf>
    <xf numFmtId="171" fontId="50" fillId="0" borderId="0" xfId="0" applyFont="1" applyAlignment="1" applyProtection="1">
      <alignment vertical="center"/>
    </xf>
    <xf numFmtId="171" fontId="40" fillId="0" borderId="2" xfId="0" applyFont="1" applyBorder="1" applyAlignment="1" applyProtection="1">
      <alignment horizontal="center" vertical="center"/>
    </xf>
    <xf numFmtId="9" fontId="42" fillId="13" borderId="0" xfId="0" applyNumberFormat="1" applyFont="1" applyFill="1" applyAlignment="1" applyProtection="1">
      <alignment vertical="center"/>
    </xf>
    <xf numFmtId="171" fontId="41" fillId="0" borderId="20" xfId="0" applyFont="1" applyBorder="1" applyAlignment="1" applyProtection="1">
      <alignment vertical="center"/>
    </xf>
    <xf numFmtId="171" fontId="41" fillId="0" borderId="0" xfId="0" applyFont="1" applyBorder="1" applyAlignment="1" applyProtection="1">
      <alignment vertical="center"/>
    </xf>
    <xf numFmtId="9" fontId="46" fillId="0" borderId="0" xfId="9" applyFont="1" applyFill="1" applyAlignment="1" applyProtection="1">
      <alignment horizontal="left" vertical="center"/>
    </xf>
    <xf numFmtId="171" fontId="40" fillId="0" borderId="1" xfId="0" applyFont="1" applyBorder="1" applyAlignment="1" applyProtection="1">
      <alignment vertical="center"/>
    </xf>
    <xf numFmtId="171" fontId="40" fillId="0" borderId="10" xfId="0" applyFont="1" applyFill="1" applyBorder="1" applyAlignment="1" applyProtection="1">
      <alignment horizontal="left" vertical="center"/>
    </xf>
    <xf numFmtId="171" fontId="40" fillId="4" borderId="14" xfId="0" applyFont="1" applyFill="1" applyBorder="1" applyAlignment="1" applyProtection="1">
      <alignment vertical="center" wrapText="1"/>
      <protection locked="0"/>
    </xf>
    <xf numFmtId="5" fontId="40" fillId="4" borderId="2" xfId="48" applyNumberFormat="1" applyFont="1" applyFill="1" applyBorder="1" applyAlignment="1" applyProtection="1">
      <alignment vertical="center"/>
      <protection locked="0"/>
    </xf>
    <xf numFmtId="5" fontId="40" fillId="5" borderId="2" xfId="0" applyNumberFormat="1" applyFont="1" applyFill="1" applyBorder="1" applyAlignment="1" applyProtection="1">
      <alignment vertical="center"/>
    </xf>
    <xf numFmtId="171" fontId="47" fillId="0" borderId="0" xfId="0" applyFont="1" applyAlignment="1" applyProtection="1">
      <alignment vertical="center"/>
    </xf>
    <xf numFmtId="5" fontId="40" fillId="7" borderId="2" xfId="0" applyNumberFormat="1" applyFont="1" applyFill="1" applyBorder="1" applyAlignment="1" applyProtection="1">
      <alignment vertical="center"/>
      <protection locked="0"/>
    </xf>
    <xf numFmtId="166" fontId="40" fillId="0" borderId="0" xfId="0" applyNumberFormat="1" applyFont="1" applyAlignment="1" applyProtection="1">
      <alignment vertical="center"/>
    </xf>
    <xf numFmtId="5" fontId="40" fillId="4" borderId="2" xfId="0" applyNumberFormat="1" applyFont="1" applyFill="1" applyBorder="1" applyAlignment="1" applyProtection="1">
      <alignment vertical="center"/>
      <protection locked="0"/>
    </xf>
    <xf numFmtId="5" fontId="40" fillId="6" borderId="2" xfId="0" applyNumberFormat="1" applyFont="1" applyFill="1" applyBorder="1" applyAlignment="1" applyProtection="1">
      <alignment vertical="center"/>
    </xf>
    <xf numFmtId="5" fontId="40" fillId="0" borderId="0" xfId="0" applyNumberFormat="1" applyFont="1" applyAlignment="1" applyProtection="1">
      <alignment vertical="center"/>
    </xf>
    <xf numFmtId="171" fontId="51" fillId="13" borderId="0" xfId="0" applyFont="1" applyFill="1" applyAlignment="1" applyProtection="1">
      <alignment vertical="center"/>
    </xf>
    <xf numFmtId="10" fontId="40" fillId="0" borderId="0" xfId="9" applyNumberFormat="1" applyFont="1" applyFill="1" applyBorder="1" applyAlignment="1" applyProtection="1">
      <alignment vertical="center"/>
    </xf>
    <xf numFmtId="171" fontId="40" fillId="0" borderId="0" xfId="0" applyFont="1" applyFill="1" applyBorder="1" applyAlignment="1" applyProtection="1">
      <alignment vertical="center"/>
    </xf>
    <xf numFmtId="171" fontId="40" fillId="7" borderId="0" xfId="0" applyFont="1" applyFill="1" applyAlignment="1" applyProtection="1">
      <alignment vertical="center"/>
    </xf>
    <xf numFmtId="171" fontId="40" fillId="5" borderId="0" xfId="0" applyFont="1" applyFill="1" applyAlignment="1" applyProtection="1">
      <alignment vertical="center"/>
    </xf>
    <xf numFmtId="171" fontId="25" fillId="0" borderId="0" xfId="0" applyFont="1" applyFill="1" applyBorder="1" applyProtection="1"/>
    <xf numFmtId="166" fontId="17" fillId="0" borderId="47" xfId="9" applyNumberFormat="1" applyFont="1" applyBorder="1" applyProtection="1"/>
    <xf numFmtId="1" fontId="17" fillId="0" borderId="47" xfId="0" applyNumberFormat="1" applyFont="1" applyBorder="1" applyProtection="1"/>
    <xf numFmtId="171" fontId="29" fillId="0" borderId="7" xfId="0" applyFont="1" applyFill="1" applyBorder="1" applyAlignment="1" applyProtection="1">
      <alignment horizontal="center"/>
    </xf>
    <xf numFmtId="171" fontId="40" fillId="13" borderId="0" xfId="0" applyFont="1" applyFill="1" applyAlignment="1" applyProtection="1">
      <alignment vertical="center"/>
    </xf>
    <xf numFmtId="2" fontId="40" fillId="0" borderId="0" xfId="0" applyNumberFormat="1" applyFont="1" applyAlignment="1" applyProtection="1">
      <alignment horizontal="right" vertical="center"/>
    </xf>
    <xf numFmtId="164" fontId="17" fillId="0" borderId="0" xfId="0" applyNumberFormat="1" applyFont="1" applyAlignment="1" applyProtection="1"/>
    <xf numFmtId="171" fontId="4" fillId="0" borderId="4" xfId="132" applyFont="1" applyBorder="1"/>
    <xf numFmtId="171" fontId="4" fillId="0" borderId="0" xfId="132" applyFont="1" applyAlignment="1">
      <alignment wrapText="1"/>
    </xf>
    <xf numFmtId="171" fontId="4" fillId="0" borderId="0" xfId="132" applyFont="1"/>
    <xf numFmtId="171" fontId="4" fillId="0" borderId="0" xfId="132" applyFont="1" applyFill="1"/>
    <xf numFmtId="3" fontId="4" fillId="0" borderId="0" xfId="132" applyNumberFormat="1" applyFont="1"/>
    <xf numFmtId="43" fontId="4" fillId="0" borderId="0" xfId="132" applyNumberFormat="1" applyFont="1"/>
    <xf numFmtId="9" fontId="4" fillId="0" borderId="0" xfId="133" applyFont="1"/>
    <xf numFmtId="41" fontId="4" fillId="0" borderId="0" xfId="132" applyNumberFormat="1" applyFont="1"/>
    <xf numFmtId="4" fontId="4" fillId="0" borderId="0" xfId="132" applyNumberFormat="1" applyFont="1" applyFill="1"/>
    <xf numFmtId="10" fontId="4" fillId="0" borderId="0" xfId="132" applyNumberFormat="1" applyFont="1"/>
    <xf numFmtId="3" fontId="4" fillId="0" borderId="0" xfId="132" applyNumberFormat="1" applyFont="1" applyFill="1"/>
    <xf numFmtId="43" fontId="8" fillId="0" borderId="0" xfId="1" applyFont="1"/>
    <xf numFmtId="171" fontId="17" fillId="13" borderId="0" xfId="0" applyFont="1" applyFill="1" applyBorder="1" applyProtection="1">
      <protection locked="0"/>
    </xf>
    <xf numFmtId="164" fontId="17" fillId="0" borderId="98" xfId="0" applyNumberFormat="1" applyFont="1" applyFill="1" applyBorder="1" applyAlignment="1" applyProtection="1">
      <alignment vertical="center"/>
    </xf>
    <xf numFmtId="164" fontId="17" fillId="0" borderId="2" xfId="0" applyNumberFormat="1" applyFont="1" applyFill="1" applyBorder="1" applyAlignment="1" applyProtection="1">
      <alignment vertical="center"/>
    </xf>
    <xf numFmtId="164" fontId="17" fillId="4" borderId="61" xfId="0" applyNumberFormat="1" applyFont="1" applyFill="1" applyBorder="1" applyAlignment="1" applyProtection="1">
      <alignment vertical="center"/>
      <protection locked="0"/>
    </xf>
    <xf numFmtId="171" fontId="17" fillId="0" borderId="0" xfId="0" applyFont="1" applyAlignment="1" applyProtection="1">
      <alignment horizontal="center" vertical="center"/>
    </xf>
    <xf numFmtId="171" fontId="17" fillId="0" borderId="0" xfId="0" applyFont="1" applyAlignment="1" applyProtection="1">
      <alignment horizontal="center" vertical="center" wrapText="1"/>
    </xf>
    <xf numFmtId="168" fontId="17" fillId="0" borderId="0" xfId="1" applyNumberFormat="1" applyFont="1" applyFill="1" applyBorder="1" applyAlignment="1" applyProtection="1"/>
    <xf numFmtId="2" fontId="3" fillId="0" borderId="0" xfId="132" applyNumberFormat="1" applyFont="1"/>
    <xf numFmtId="171" fontId="53" fillId="4" borderId="0" xfId="0" applyFont="1" applyFill="1" applyAlignment="1" applyProtection="1"/>
    <xf numFmtId="171" fontId="53" fillId="0" borderId="0" xfId="0" applyFont="1" applyFill="1" applyAlignment="1" applyProtection="1"/>
    <xf numFmtId="171" fontId="54" fillId="0" borderId="0" xfId="0" applyFont="1" applyAlignment="1" applyProtection="1"/>
    <xf numFmtId="171" fontId="54" fillId="7" borderId="0" xfId="0" applyFont="1" applyFill="1" applyAlignment="1" applyProtection="1"/>
    <xf numFmtId="171" fontId="54" fillId="0" borderId="0" xfId="0" applyFont="1" applyFill="1" applyAlignment="1" applyProtection="1"/>
    <xf numFmtId="171" fontId="55" fillId="0" borderId="0" xfId="0" applyFont="1" applyAlignment="1" applyProtection="1"/>
    <xf numFmtId="171" fontId="54" fillId="5" borderId="0" xfId="0" applyFont="1" applyFill="1" applyAlignment="1" applyProtection="1"/>
    <xf numFmtId="171" fontId="56" fillId="0" borderId="0" xfId="0" applyFont="1" applyAlignment="1" applyProtection="1"/>
    <xf numFmtId="171" fontId="56" fillId="0" borderId="0" xfId="0" applyFont="1" applyAlignment="1" applyProtection="1">
      <alignment horizontal="right"/>
    </xf>
    <xf numFmtId="1" fontId="57" fillId="5" borderId="2" xfId="0" applyNumberFormat="1" applyFont="1" applyFill="1" applyBorder="1" applyAlignment="1" applyProtection="1"/>
    <xf numFmtId="171" fontId="58" fillId="0" borderId="0" xfId="0" applyFont="1" applyAlignment="1" applyProtection="1"/>
    <xf numFmtId="171" fontId="59" fillId="0" borderId="0" xfId="0" applyFont="1" applyFill="1" applyAlignment="1" applyProtection="1"/>
    <xf numFmtId="168" fontId="54" fillId="0" borderId="0" xfId="1" applyNumberFormat="1" applyFont="1" applyAlignment="1" applyProtection="1"/>
    <xf numFmtId="171" fontId="55" fillId="0" borderId="0" xfId="0" applyFont="1" applyFill="1" applyAlignment="1" applyProtection="1">
      <alignment horizontal="right"/>
    </xf>
    <xf numFmtId="171" fontId="59" fillId="0" borderId="0" xfId="0" applyFont="1" applyFill="1" applyBorder="1" applyAlignment="1" applyProtection="1"/>
    <xf numFmtId="171" fontId="53" fillId="0" borderId="0" xfId="0" applyFont="1" applyAlignment="1" applyProtection="1">
      <alignment horizontal="right"/>
    </xf>
    <xf numFmtId="9" fontId="57" fillId="4" borderId="7" xfId="9" applyFont="1" applyFill="1" applyBorder="1" applyAlignment="1" applyProtection="1">
      <alignment horizontal="center" vertical="center"/>
      <protection locked="0"/>
    </xf>
    <xf numFmtId="171" fontId="53" fillId="0" borderId="0" xfId="0" applyFont="1" applyAlignment="1" applyProtection="1"/>
    <xf numFmtId="10" fontId="57" fillId="4" borderId="2" xfId="9" applyNumberFormat="1" applyFont="1" applyFill="1" applyBorder="1" applyAlignment="1" applyProtection="1">
      <alignment horizontal="center" vertical="center"/>
      <protection locked="0"/>
    </xf>
    <xf numFmtId="171" fontId="57" fillId="0" borderId="2" xfId="0" applyFont="1" applyBorder="1" applyAlignment="1" applyProtection="1">
      <alignment horizontal="center" vertical="center"/>
    </xf>
    <xf numFmtId="9" fontId="57" fillId="4" borderId="2" xfId="9" applyFont="1" applyFill="1" applyBorder="1" applyAlignment="1" applyProtection="1">
      <alignment horizontal="center" vertical="center"/>
      <protection locked="0"/>
    </xf>
    <xf numFmtId="9" fontId="60" fillId="5" borderId="2" xfId="0" applyNumberFormat="1" applyFont="1" applyFill="1" applyBorder="1" applyAlignment="1" applyProtection="1">
      <alignment horizontal="center" vertical="center"/>
    </xf>
    <xf numFmtId="14" fontId="54" fillId="0" borderId="0" xfId="0" applyNumberFormat="1" applyFont="1" applyAlignment="1" applyProtection="1"/>
    <xf numFmtId="9" fontId="53" fillId="0" borderId="0" xfId="0" applyNumberFormat="1" applyFont="1" applyAlignment="1" applyProtection="1"/>
    <xf numFmtId="171" fontId="61" fillId="0" borderId="0" xfId="0" applyFont="1" applyAlignment="1" applyProtection="1"/>
    <xf numFmtId="171" fontId="60" fillId="0" borderId="0" xfId="0" applyFont="1" applyBorder="1" applyAlignment="1" applyProtection="1">
      <alignment horizontal="center"/>
    </xf>
    <xf numFmtId="171" fontId="60" fillId="0" borderId="2" xfId="0" applyFont="1" applyBorder="1" applyAlignment="1" applyProtection="1">
      <alignment horizontal="center"/>
    </xf>
    <xf numFmtId="171" fontId="60" fillId="0" borderId="7" xfId="0" applyFont="1" applyBorder="1" applyAlignment="1" applyProtection="1">
      <alignment horizontal="center"/>
    </xf>
    <xf numFmtId="171" fontId="57" fillId="0" borderId="4" xfId="0" applyFont="1" applyBorder="1" applyAlignment="1" applyProtection="1"/>
    <xf numFmtId="171" fontId="60" fillId="0" borderId="0" xfId="0" applyFont="1" applyFill="1" applyAlignment="1" applyProtection="1"/>
    <xf numFmtId="9" fontId="62" fillId="0" borderId="0" xfId="9" applyFont="1" applyFill="1" applyAlignment="1" applyProtection="1"/>
    <xf numFmtId="171" fontId="60" fillId="0" borderId="0" xfId="0" applyFont="1" applyAlignment="1" applyProtection="1"/>
    <xf numFmtId="171" fontId="60" fillId="0" borderId="25" xfId="0" applyFont="1" applyBorder="1" applyAlignment="1" applyProtection="1"/>
    <xf numFmtId="171" fontId="60" fillId="0" borderId="3" xfId="0" applyFont="1" applyBorder="1" applyAlignment="1" applyProtection="1"/>
    <xf numFmtId="5" fontId="60" fillId="5" borderId="37" xfId="0" applyNumberFormat="1" applyFont="1" applyFill="1" applyBorder="1" applyAlignment="1" applyProtection="1"/>
    <xf numFmtId="5" fontId="60" fillId="5" borderId="16" xfId="0" applyNumberFormat="1" applyFont="1" applyFill="1" applyBorder="1" applyAlignment="1" applyProtection="1"/>
    <xf numFmtId="5" fontId="60" fillId="5" borderId="14" xfId="0" applyNumberFormat="1" applyFont="1" applyFill="1" applyBorder="1" applyAlignment="1" applyProtection="1"/>
    <xf numFmtId="171" fontId="60" fillId="0" borderId="10" xfId="0" applyFont="1" applyFill="1" applyBorder="1" applyAlignment="1" applyProtection="1"/>
    <xf numFmtId="5" fontId="60" fillId="4" borderId="2" xfId="0" applyNumberFormat="1" applyFont="1" applyFill="1" applyBorder="1" applyAlignment="1" applyProtection="1">
      <protection locked="0"/>
    </xf>
    <xf numFmtId="5" fontId="54" fillId="0" borderId="0" xfId="0" applyNumberFormat="1" applyFont="1" applyAlignment="1" applyProtection="1"/>
    <xf numFmtId="9" fontId="62" fillId="0" borderId="10" xfId="9" applyFont="1" applyFill="1" applyBorder="1" applyAlignment="1" applyProtection="1"/>
    <xf numFmtId="5" fontId="60" fillId="7" borderId="2" xfId="0" applyNumberFormat="1" applyFont="1" applyFill="1" applyBorder="1" applyAlignment="1" applyProtection="1">
      <protection locked="0"/>
    </xf>
    <xf numFmtId="171" fontId="60" fillId="0" borderId="10" xfId="0" applyFont="1" applyBorder="1" applyAlignment="1" applyProtection="1"/>
    <xf numFmtId="171" fontId="63" fillId="0" borderId="0" xfId="0" applyFont="1" applyAlignment="1" applyProtection="1"/>
    <xf numFmtId="171" fontId="60" fillId="0" borderId="10" xfId="0" applyFont="1" applyFill="1" applyBorder="1" applyAlignment="1" applyProtection="1">
      <alignment horizontal="left"/>
    </xf>
    <xf numFmtId="171" fontId="60" fillId="0" borderId="2" xfId="0" applyFont="1" applyBorder="1" applyAlignment="1" applyProtection="1"/>
    <xf numFmtId="2" fontId="60" fillId="0" borderId="2" xfId="0" applyNumberFormat="1" applyFont="1" applyBorder="1" applyAlignment="1" applyProtection="1"/>
    <xf numFmtId="5" fontId="60" fillId="5" borderId="3" xfId="0" applyNumberFormat="1" applyFont="1" applyFill="1" applyBorder="1" applyAlignment="1" applyProtection="1"/>
    <xf numFmtId="5" fontId="60" fillId="5" borderId="2" xfId="0" applyNumberFormat="1" applyFont="1" applyFill="1" applyBorder="1" applyAlignment="1" applyProtection="1"/>
    <xf numFmtId="171" fontId="60" fillId="0" borderId="7" xfId="0" applyFont="1" applyBorder="1" applyAlignment="1" applyProtection="1"/>
    <xf numFmtId="5" fontId="60" fillId="5" borderId="7" xfId="0" applyNumberFormat="1" applyFont="1" applyFill="1" applyBorder="1" applyAlignment="1" applyProtection="1"/>
    <xf numFmtId="166" fontId="60" fillId="0" borderId="0" xfId="0" applyNumberFormat="1" applyFont="1" applyAlignment="1" applyProtection="1"/>
    <xf numFmtId="171" fontId="60" fillId="0" borderId="44" xfId="0" applyFont="1" applyFill="1" applyBorder="1" applyAlignment="1" applyProtection="1">
      <alignment horizontal="left"/>
    </xf>
    <xf numFmtId="169" fontId="60" fillId="0" borderId="4" xfId="9" applyNumberFormat="1" applyFont="1" applyFill="1" applyBorder="1" applyAlignment="1" applyProtection="1">
      <alignment horizontal="right"/>
    </xf>
    <xf numFmtId="169" fontId="57" fillId="0" borderId="16" xfId="9" applyNumberFormat="1" applyFont="1" applyFill="1" applyBorder="1" applyAlignment="1" applyProtection="1">
      <alignment horizontal="right"/>
    </xf>
    <xf numFmtId="7" fontId="60" fillId="0" borderId="3" xfId="0" applyNumberFormat="1" applyFont="1" applyBorder="1" applyAlignment="1" applyProtection="1"/>
    <xf numFmtId="5" fontId="60" fillId="4" borderId="2" xfId="48" applyNumberFormat="1" applyFont="1" applyFill="1" applyBorder="1" applyAlignment="1" applyProtection="1">
      <protection locked="0"/>
    </xf>
    <xf numFmtId="7" fontId="60" fillId="0" borderId="2" xfId="0" applyNumberFormat="1" applyFont="1" applyBorder="1" applyAlignment="1" applyProtection="1"/>
    <xf numFmtId="171" fontId="60" fillId="0" borderId="25" xfId="0" applyFont="1" applyFill="1" applyBorder="1" applyAlignment="1" applyProtection="1">
      <alignment horizontal="left"/>
    </xf>
    <xf numFmtId="171" fontId="60" fillId="0" borderId="14" xfId="0" applyFont="1" applyFill="1" applyBorder="1" applyAlignment="1" applyProtection="1">
      <alignment horizontal="left"/>
    </xf>
    <xf numFmtId="171" fontId="63" fillId="0" borderId="0" xfId="0" applyFont="1" applyFill="1" applyAlignment="1" applyProtection="1"/>
    <xf numFmtId="171" fontId="64" fillId="0" borderId="0" xfId="0" applyFont="1" applyAlignment="1" applyProtection="1"/>
    <xf numFmtId="171" fontId="60" fillId="0" borderId="27" xfId="0" applyFont="1" applyFill="1" applyBorder="1" applyAlignment="1" applyProtection="1">
      <alignment horizontal="left"/>
    </xf>
    <xf numFmtId="5" fontId="57" fillId="0" borderId="14" xfId="0" applyNumberFormat="1" applyFont="1" applyBorder="1" applyAlignment="1" applyProtection="1"/>
    <xf numFmtId="5" fontId="60" fillId="6" borderId="7" xfId="0" applyNumberFormat="1" applyFont="1" applyFill="1" applyBorder="1" applyAlignment="1" applyProtection="1"/>
    <xf numFmtId="5" fontId="60" fillId="6" borderId="2" xfId="0" applyNumberFormat="1" applyFont="1" applyFill="1" applyBorder="1" applyAlignment="1" applyProtection="1"/>
    <xf numFmtId="9" fontId="60" fillId="4" borderId="49" xfId="9" applyNumberFormat="1" applyFont="1" applyFill="1" applyBorder="1" applyAlignment="1" applyProtection="1">
      <alignment horizontal="left" indent="1"/>
      <protection locked="0"/>
    </xf>
    <xf numFmtId="5" fontId="60" fillId="4" borderId="3" xfId="0" applyNumberFormat="1" applyFont="1" applyFill="1" applyBorder="1" applyAlignment="1" applyProtection="1">
      <protection locked="0"/>
    </xf>
    <xf numFmtId="1" fontId="63" fillId="0" borderId="0" xfId="0" applyNumberFormat="1" applyFont="1" applyAlignment="1" applyProtection="1">
      <alignment horizontal="center"/>
    </xf>
    <xf numFmtId="5" fontId="60" fillId="7" borderId="14" xfId="0" applyNumberFormat="1" applyFont="1" applyFill="1" applyBorder="1" applyAlignment="1" applyProtection="1">
      <protection locked="0"/>
    </xf>
    <xf numFmtId="171" fontId="54" fillId="0" borderId="0" xfId="0" applyFont="1" applyAlignment="1" applyProtection="1">
      <alignment horizontal="center"/>
    </xf>
    <xf numFmtId="2" fontId="60" fillId="5" borderId="2" xfId="0" applyNumberFormat="1" applyFont="1" applyFill="1" applyBorder="1" applyAlignment="1" applyProtection="1"/>
    <xf numFmtId="7" fontId="54" fillId="0" borderId="0" xfId="0" applyNumberFormat="1" applyFont="1" applyAlignment="1" applyProtection="1"/>
    <xf numFmtId="10" fontId="60" fillId="5" borderId="2" xfId="9" applyNumberFormat="1" applyFont="1" applyFill="1" applyBorder="1" applyAlignment="1" applyProtection="1"/>
    <xf numFmtId="10" fontId="54" fillId="0" borderId="0" xfId="9" applyNumberFormat="1" applyFont="1" applyAlignment="1" applyProtection="1"/>
    <xf numFmtId="165" fontId="60" fillId="5" borderId="14" xfId="9" applyNumberFormat="1" applyFont="1" applyFill="1" applyBorder="1" applyAlignment="1" applyProtection="1"/>
    <xf numFmtId="5" fontId="54" fillId="0" borderId="0" xfId="0" applyNumberFormat="1" applyFont="1" applyFill="1" applyAlignment="1" applyProtection="1"/>
    <xf numFmtId="165" fontId="54" fillId="0" borderId="0" xfId="0" applyNumberFormat="1" applyFont="1" applyFill="1" applyAlignment="1" applyProtection="1"/>
    <xf numFmtId="165" fontId="54" fillId="0" borderId="0" xfId="0" applyNumberFormat="1" applyFont="1" applyAlignment="1" applyProtection="1"/>
    <xf numFmtId="171" fontId="66" fillId="0" borderId="0" xfId="0" applyFont="1" applyFill="1" applyAlignment="1" applyProtection="1"/>
    <xf numFmtId="171" fontId="58" fillId="0" borderId="0" xfId="0" applyFont="1" applyFill="1" applyBorder="1" applyAlignment="1" applyProtection="1"/>
    <xf numFmtId="9" fontId="65" fillId="13" borderId="0" xfId="0" applyNumberFormat="1" applyFont="1" applyFill="1" applyAlignment="1" applyProtection="1"/>
    <xf numFmtId="171" fontId="67" fillId="0" borderId="2" xfId="0" applyFont="1" applyBorder="1"/>
    <xf numFmtId="171" fontId="67" fillId="13" borderId="2" xfId="0" applyFont="1" applyFill="1" applyBorder="1"/>
    <xf numFmtId="171" fontId="68" fillId="13" borderId="2" xfId="0" applyFont="1" applyFill="1" applyBorder="1"/>
    <xf numFmtId="171" fontId="67" fillId="0" borderId="0" xfId="0" applyFont="1"/>
    <xf numFmtId="171" fontId="67" fillId="15" borderId="2" xfId="0" applyFont="1" applyFill="1" applyBorder="1"/>
    <xf numFmtId="171" fontId="67" fillId="25" borderId="0" xfId="0" applyFont="1" applyFill="1"/>
    <xf numFmtId="2" fontId="67" fillId="0" borderId="2" xfId="0" applyNumberFormat="1" applyFont="1" applyBorder="1"/>
    <xf numFmtId="169" fontId="67" fillId="0" borderId="2" xfId="0" applyNumberFormat="1" applyFont="1" applyBorder="1"/>
    <xf numFmtId="174" fontId="67" fillId="0" borderId="2" xfId="0" applyNumberFormat="1" applyFont="1" applyBorder="1"/>
    <xf numFmtId="171" fontId="67" fillId="0" borderId="2" xfId="0" applyNumberFormat="1" applyFont="1" applyBorder="1" applyAlignment="1">
      <alignment horizontal="center"/>
    </xf>
    <xf numFmtId="171" fontId="67" fillId="16" borderId="2" xfId="0" applyFont="1" applyFill="1" applyBorder="1" applyAlignment="1">
      <alignment vertical="top"/>
    </xf>
    <xf numFmtId="6" fontId="67" fillId="15" borderId="2" xfId="0" applyNumberFormat="1" applyFont="1" applyFill="1" applyBorder="1" applyAlignment="1">
      <alignment vertical="top"/>
    </xf>
    <xf numFmtId="171" fontId="67" fillId="16" borderId="2" xfId="0" applyFont="1" applyFill="1" applyBorder="1"/>
    <xf numFmtId="171" fontId="67" fillId="15" borderId="0" xfId="0" applyFont="1" applyFill="1"/>
    <xf numFmtId="175" fontId="67" fillId="16" borderId="2" xfId="0" applyNumberFormat="1" applyFont="1" applyFill="1" applyBorder="1" applyAlignment="1">
      <alignment vertical="top"/>
    </xf>
    <xf numFmtId="167" fontId="67" fillId="16" borderId="2" xfId="0" applyNumberFormat="1" applyFont="1" applyFill="1" applyBorder="1" applyAlignment="1">
      <alignment vertical="top"/>
    </xf>
    <xf numFmtId="171" fontId="67" fillId="16" borderId="2" xfId="0" applyNumberFormat="1" applyFont="1" applyFill="1" applyBorder="1" applyAlignment="1">
      <alignment horizontal="center" vertical="top"/>
    </xf>
    <xf numFmtId="171" fontId="67" fillId="26" borderId="0" xfId="0" applyFont="1" applyFill="1"/>
    <xf numFmtId="171" fontId="67" fillId="0" borderId="2" xfId="0" applyFont="1" applyBorder="1" applyAlignment="1">
      <alignment horizontal="center"/>
    </xf>
    <xf numFmtId="175" fontId="67" fillId="16" borderId="2" xfId="0" applyNumberFormat="1" applyFont="1" applyFill="1" applyBorder="1" applyAlignment="1">
      <alignment horizontal="right" vertical="top"/>
    </xf>
    <xf numFmtId="171" fontId="67" fillId="16" borderId="2" xfId="0" applyNumberFormat="1" applyFont="1" applyFill="1" applyBorder="1" applyAlignment="1">
      <alignment vertical="top"/>
    </xf>
    <xf numFmtId="1" fontId="67" fillId="0" borderId="2" xfId="0" applyNumberFormat="1" applyFont="1" applyBorder="1"/>
    <xf numFmtId="171" fontId="67" fillId="0" borderId="2" xfId="0" applyFont="1" applyFill="1" applyBorder="1"/>
    <xf numFmtId="1" fontId="67" fillId="0" borderId="2" xfId="0" applyNumberFormat="1" applyFont="1" applyBorder="1" applyAlignment="1">
      <alignment horizontal="center"/>
    </xf>
    <xf numFmtId="173" fontId="67" fillId="16" borderId="2" xfId="0" applyNumberFormat="1" applyFont="1" applyFill="1" applyBorder="1" applyAlignment="1">
      <alignment vertical="top"/>
    </xf>
    <xf numFmtId="171" fontId="67" fillId="0" borderId="2" xfId="0" applyNumberFormat="1" applyFont="1" applyBorder="1"/>
    <xf numFmtId="171" fontId="68" fillId="17" borderId="2" xfId="0" applyFont="1" applyFill="1" applyBorder="1"/>
    <xf numFmtId="171" fontId="67" fillId="28" borderId="0" xfId="0" applyFont="1" applyFill="1"/>
    <xf numFmtId="171" fontId="68" fillId="15" borderId="2" xfId="0" applyNumberFormat="1" applyFont="1" applyFill="1" applyBorder="1"/>
    <xf numFmtId="171" fontId="67" fillId="30" borderId="0" xfId="0" applyFont="1" applyFill="1"/>
    <xf numFmtId="2" fontId="68" fillId="17" borderId="2" xfId="0" applyNumberFormat="1" applyFont="1" applyFill="1" applyBorder="1"/>
    <xf numFmtId="169" fontId="68" fillId="17" borderId="2" xfId="0" applyNumberFormat="1" applyFont="1" applyFill="1" applyBorder="1"/>
    <xf numFmtId="1" fontId="68" fillId="17" borderId="2" xfId="0" applyNumberFormat="1" applyFont="1" applyFill="1" applyBorder="1"/>
    <xf numFmtId="171" fontId="67" fillId="31" borderId="0" xfId="0" applyFont="1" applyFill="1"/>
    <xf numFmtId="171" fontId="68" fillId="18" borderId="2" xfId="0" applyFont="1" applyFill="1" applyBorder="1" applyAlignment="1">
      <alignment vertical="top"/>
    </xf>
    <xf numFmtId="171" fontId="68" fillId="18" borderId="2" xfId="0" applyFont="1" applyFill="1" applyBorder="1"/>
    <xf numFmtId="171" fontId="67" fillId="29" borderId="0" xfId="0" applyFont="1" applyFill="1"/>
    <xf numFmtId="173" fontId="68" fillId="18" borderId="2" xfId="0" applyNumberFormat="1" applyFont="1" applyFill="1" applyBorder="1" applyAlignment="1">
      <alignment vertical="top"/>
    </xf>
    <xf numFmtId="42" fontId="68" fillId="18" borderId="2" xfId="0" applyNumberFormat="1" applyFont="1" applyFill="1" applyBorder="1" applyAlignment="1">
      <alignment vertical="top"/>
    </xf>
    <xf numFmtId="171" fontId="68" fillId="18" borderId="2" xfId="0" applyNumberFormat="1" applyFont="1" applyFill="1" applyBorder="1" applyAlignment="1">
      <alignment vertical="top"/>
    </xf>
    <xf numFmtId="171" fontId="67" fillId="9" borderId="0" xfId="0" applyFont="1" applyFill="1"/>
    <xf numFmtId="171" fontId="68" fillId="15" borderId="2" xfId="0" applyFont="1" applyFill="1" applyBorder="1"/>
    <xf numFmtId="171" fontId="67" fillId="0" borderId="2" xfId="0" applyFont="1" applyFill="1" applyBorder="1" applyAlignment="1">
      <alignment horizontal="center"/>
    </xf>
    <xf numFmtId="171" fontId="68" fillId="0" borderId="2" xfId="0" applyFont="1" applyBorder="1"/>
    <xf numFmtId="171" fontId="68" fillId="0" borderId="2" xfId="0" applyFont="1" applyFill="1" applyBorder="1"/>
    <xf numFmtId="44" fontId="67" fillId="0" borderId="2" xfId="0" applyNumberFormat="1" applyFont="1" applyBorder="1"/>
    <xf numFmtId="44" fontId="67" fillId="0" borderId="2" xfId="0" applyNumberFormat="1" applyFont="1" applyFill="1" applyBorder="1"/>
    <xf numFmtId="171" fontId="68" fillId="19" borderId="2" xfId="0" applyFont="1" applyFill="1" applyBorder="1"/>
    <xf numFmtId="3" fontId="67" fillId="0" borderId="2" xfId="0" applyNumberFormat="1" applyFont="1" applyBorder="1"/>
    <xf numFmtId="6" fontId="67" fillId="0" borderId="2" xfId="0" applyNumberFormat="1" applyFont="1" applyBorder="1"/>
    <xf numFmtId="4" fontId="67" fillId="0" borderId="2" xfId="0" applyNumberFormat="1" applyFont="1" applyBorder="1"/>
    <xf numFmtId="5" fontId="68" fillId="0" borderId="2" xfId="0" applyNumberFormat="1" applyFont="1" applyFill="1" applyBorder="1"/>
    <xf numFmtId="10" fontId="67" fillId="0" borderId="2" xfId="0" applyNumberFormat="1" applyFont="1" applyFill="1" applyBorder="1"/>
    <xf numFmtId="10" fontId="67" fillId="0" borderId="2" xfId="0" applyNumberFormat="1" applyFont="1" applyBorder="1"/>
    <xf numFmtId="10" fontId="67" fillId="0" borderId="2" xfId="9" applyNumberFormat="1" applyFont="1" applyBorder="1"/>
    <xf numFmtId="171" fontId="67" fillId="27" borderId="0" xfId="0" applyFont="1" applyFill="1"/>
    <xf numFmtId="171" fontId="67" fillId="11" borderId="2" xfId="0" applyFont="1" applyFill="1" applyBorder="1"/>
    <xf numFmtId="5" fontId="67" fillId="0" borderId="2" xfId="0" applyNumberFormat="1" applyFont="1" applyBorder="1"/>
    <xf numFmtId="39" fontId="67" fillId="0" borderId="2" xfId="0" applyNumberFormat="1" applyFont="1" applyBorder="1"/>
    <xf numFmtId="171" fontId="68" fillId="27" borderId="0" xfId="0" applyFont="1" applyFill="1"/>
    <xf numFmtId="171" fontId="67" fillId="24" borderId="2" xfId="0" applyFont="1" applyFill="1" applyBorder="1"/>
    <xf numFmtId="171" fontId="68" fillId="24" borderId="2" xfId="0" applyFont="1" applyFill="1" applyBorder="1"/>
    <xf numFmtId="171" fontId="68" fillId="16" borderId="2" xfId="0" applyFont="1" applyFill="1" applyBorder="1"/>
    <xf numFmtId="171" fontId="67" fillId="0" borderId="2" xfId="0" applyNumberFormat="1" applyFont="1" applyFill="1" applyBorder="1"/>
    <xf numFmtId="171" fontId="68" fillId="20" borderId="2" xfId="0" applyFont="1" applyFill="1" applyBorder="1"/>
    <xf numFmtId="42" fontId="67" fillId="0" borderId="2" xfId="0" applyNumberFormat="1" applyFont="1" applyFill="1" applyBorder="1"/>
    <xf numFmtId="3" fontId="67" fillId="0" borderId="2" xfId="0" applyNumberFormat="1" applyFont="1" applyFill="1" applyBorder="1"/>
    <xf numFmtId="44" fontId="67" fillId="12" borderId="2" xfId="0" applyNumberFormat="1" applyFont="1" applyFill="1" applyBorder="1"/>
    <xf numFmtId="2" fontId="67" fillId="0" borderId="2" xfId="0" applyNumberFormat="1" applyFont="1" applyFill="1" applyBorder="1"/>
    <xf numFmtId="10" fontId="67" fillId="0" borderId="2" xfId="3" applyNumberFormat="1" applyFont="1" applyFill="1" applyBorder="1"/>
    <xf numFmtId="171" fontId="67" fillId="0" borderId="2" xfId="3" applyNumberFormat="1" applyFont="1" applyFill="1" applyBorder="1"/>
    <xf numFmtId="6" fontId="67" fillId="0" borderId="2" xfId="0" applyNumberFormat="1" applyFont="1" applyFill="1" applyBorder="1"/>
    <xf numFmtId="44" fontId="67" fillId="0" borderId="2" xfId="1" applyNumberFormat="1" applyFont="1" applyBorder="1"/>
    <xf numFmtId="2" fontId="67" fillId="0" borderId="2" xfId="3" applyNumberFormat="1" applyFont="1" applyBorder="1"/>
    <xf numFmtId="171" fontId="69" fillId="13" borderId="2" xfId="0" applyFont="1" applyFill="1" applyBorder="1"/>
    <xf numFmtId="8" fontId="67" fillId="0" borderId="2" xfId="0" applyNumberFormat="1" applyFont="1" applyBorder="1"/>
    <xf numFmtId="171" fontId="67" fillId="12" borderId="2" xfId="0" applyNumberFormat="1" applyFont="1" applyFill="1" applyBorder="1"/>
    <xf numFmtId="171" fontId="67" fillId="12" borderId="2" xfId="0" applyFont="1" applyFill="1" applyBorder="1"/>
    <xf numFmtId="171" fontId="68" fillId="0" borderId="2" xfId="0" applyFont="1" applyBorder="1" applyAlignment="1">
      <alignment vertical="top"/>
    </xf>
    <xf numFmtId="42" fontId="67" fillId="0" borderId="2" xfId="0" applyNumberFormat="1" applyFont="1" applyBorder="1"/>
    <xf numFmtId="171" fontId="67" fillId="0" borderId="10" xfId="0" applyFont="1" applyBorder="1"/>
    <xf numFmtId="171" fontId="68" fillId="13" borderId="2" xfId="0" applyFont="1" applyFill="1" applyBorder="1" applyProtection="1"/>
    <xf numFmtId="10" fontId="70" fillId="13" borderId="2" xfId="9" applyNumberFormat="1" applyFont="1" applyFill="1" applyBorder="1" applyAlignment="1" applyProtection="1">
      <alignment horizontal="left" vertical="center"/>
    </xf>
    <xf numFmtId="171" fontId="68" fillId="13" borderId="2" xfId="0" applyFont="1" applyFill="1" applyBorder="1" applyAlignment="1" applyProtection="1">
      <alignment vertical="center" wrapText="1"/>
    </xf>
    <xf numFmtId="9" fontId="68" fillId="13" borderId="62" xfId="0" applyNumberFormat="1" applyFont="1" applyFill="1" applyBorder="1" applyAlignment="1" applyProtection="1">
      <alignment horizontal="left"/>
    </xf>
    <xf numFmtId="9" fontId="68" fillId="13" borderId="25" xfId="0" applyNumberFormat="1" applyFont="1" applyFill="1" applyBorder="1" applyAlignment="1" applyProtection="1">
      <alignment horizontal="left"/>
    </xf>
    <xf numFmtId="171" fontId="68" fillId="0" borderId="2" xfId="0" applyNumberFormat="1" applyFont="1" applyBorder="1" applyAlignment="1">
      <alignment horizontal="left"/>
    </xf>
    <xf numFmtId="44" fontId="67" fillId="0" borderId="0" xfId="0" applyNumberFormat="1" applyFont="1"/>
    <xf numFmtId="171" fontId="72" fillId="0" borderId="0" xfId="0" applyFont="1" applyProtection="1"/>
    <xf numFmtId="165" fontId="72" fillId="0" borderId="0" xfId="0" applyNumberFormat="1" applyFont="1" applyAlignment="1" applyProtection="1">
      <alignment horizontal="center"/>
    </xf>
    <xf numFmtId="164" fontId="72" fillId="0" borderId="0" xfId="0" applyNumberFormat="1" applyFont="1" applyProtection="1"/>
    <xf numFmtId="171" fontId="72" fillId="0" borderId="0" xfId="0" applyFont="1" applyFill="1" applyProtection="1"/>
    <xf numFmtId="164" fontId="73" fillId="0" borderId="0" xfId="0" applyNumberFormat="1" applyFont="1" applyAlignment="1" applyProtection="1">
      <alignment horizontal="center" wrapText="1"/>
    </xf>
    <xf numFmtId="164" fontId="73" fillId="0" borderId="0" xfId="0" applyNumberFormat="1" applyFont="1" applyBorder="1" applyAlignment="1" applyProtection="1">
      <alignment horizontal="center"/>
    </xf>
    <xf numFmtId="164" fontId="72" fillId="0" borderId="0" xfId="0" applyNumberFormat="1" applyFont="1" applyBorder="1" applyProtection="1"/>
    <xf numFmtId="165" fontId="72" fillId="0" borderId="53" xfId="0" applyNumberFormat="1" applyFont="1" applyBorder="1" applyAlignment="1" applyProtection="1">
      <alignment horizontal="center"/>
    </xf>
    <xf numFmtId="164" fontId="72" fillId="4" borderId="10" xfId="3" applyNumberFormat="1" applyFont="1" applyFill="1" applyBorder="1" applyAlignment="1" applyProtection="1">
      <alignment horizontal="right"/>
      <protection locked="0"/>
    </xf>
    <xf numFmtId="164" fontId="72" fillId="13" borderId="2" xfId="0" applyNumberFormat="1" applyFont="1" applyFill="1" applyBorder="1" applyProtection="1"/>
    <xf numFmtId="164" fontId="72" fillId="13" borderId="0" xfId="0" applyNumberFormat="1" applyFont="1" applyFill="1" applyBorder="1" applyProtection="1"/>
    <xf numFmtId="165" fontId="72" fillId="0" borderId="50" xfId="0" applyNumberFormat="1" applyFont="1" applyBorder="1" applyAlignment="1" applyProtection="1">
      <alignment horizontal="center"/>
    </xf>
    <xf numFmtId="165" fontId="72" fillId="0" borderId="51" xfId="0" applyNumberFormat="1" applyFont="1" applyBorder="1" applyAlignment="1" applyProtection="1">
      <alignment horizontal="center"/>
    </xf>
    <xf numFmtId="3" fontId="72" fillId="0" borderId="7" xfId="3" applyNumberFormat="1" applyFont="1" applyFill="1" applyBorder="1" applyAlignment="1" applyProtection="1">
      <alignment horizontal="left"/>
    </xf>
    <xf numFmtId="3" fontId="72" fillId="4" borderId="7" xfId="3" applyNumberFormat="1" applyFont="1" applyFill="1" applyBorder="1" applyAlignment="1" applyProtection="1">
      <alignment horizontal="left" wrapText="1"/>
      <protection locked="0"/>
    </xf>
    <xf numFmtId="164" fontId="72" fillId="4" borderId="27" xfId="3" applyNumberFormat="1" applyFont="1" applyFill="1" applyBorder="1" applyAlignment="1" applyProtection="1">
      <alignment horizontal="right"/>
      <protection locked="0"/>
    </xf>
    <xf numFmtId="165" fontId="72" fillId="0" borderId="73" xfId="0" applyNumberFormat="1" applyFont="1" applyBorder="1" applyAlignment="1" applyProtection="1">
      <alignment horizontal="center"/>
    </xf>
    <xf numFmtId="164" fontId="73" fillId="0" borderId="45" xfId="3" applyNumberFormat="1" applyFont="1" applyBorder="1" applyProtection="1"/>
    <xf numFmtId="164" fontId="72" fillId="13" borderId="49" xfId="0" applyNumberFormat="1" applyFont="1" applyFill="1" applyBorder="1" applyProtection="1"/>
    <xf numFmtId="165" fontId="72" fillId="0" borderId="49" xfId="0" applyNumberFormat="1" applyFont="1" applyBorder="1" applyAlignment="1" applyProtection="1">
      <alignment horizontal="center"/>
    </xf>
    <xf numFmtId="171" fontId="72" fillId="0" borderId="0" xfId="0" applyFont="1" applyFill="1" applyBorder="1" applyAlignment="1" applyProtection="1">
      <alignment horizontal="center"/>
    </xf>
    <xf numFmtId="164" fontId="72" fillId="0" borderId="0" xfId="3" applyNumberFormat="1" applyFont="1" applyBorder="1" applyProtection="1"/>
    <xf numFmtId="164" fontId="72" fillId="13" borderId="4" xfId="0" applyNumberFormat="1" applyFont="1" applyFill="1" applyBorder="1" applyProtection="1"/>
    <xf numFmtId="164" fontId="72" fillId="13" borderId="3" xfId="0" applyNumberFormat="1" applyFont="1" applyFill="1" applyBorder="1" applyProtection="1"/>
    <xf numFmtId="165" fontId="72" fillId="0" borderId="52" xfId="0" applyNumberFormat="1" applyFont="1" applyBorder="1" applyAlignment="1" applyProtection="1">
      <alignment horizontal="center"/>
    </xf>
    <xf numFmtId="164" fontId="73" fillId="0" borderId="82" xfId="3" applyNumberFormat="1" applyFont="1" applyBorder="1" applyProtection="1"/>
    <xf numFmtId="164" fontId="72" fillId="13" borderId="0" xfId="0" applyNumberFormat="1" applyFont="1" applyFill="1" applyProtection="1"/>
    <xf numFmtId="9" fontId="72" fillId="0" borderId="0" xfId="0" applyNumberFormat="1" applyFont="1" applyProtection="1"/>
    <xf numFmtId="10" fontId="72" fillId="0" borderId="0" xfId="0" applyNumberFormat="1" applyFont="1" applyProtection="1"/>
    <xf numFmtId="171" fontId="73" fillId="0" borderId="0" xfId="0" applyFont="1" applyFill="1" applyBorder="1" applyAlignment="1" applyProtection="1">
      <alignment horizontal="left"/>
    </xf>
    <xf numFmtId="164" fontId="73" fillId="0" borderId="0" xfId="3" applyNumberFormat="1" applyFont="1" applyBorder="1" applyProtection="1"/>
    <xf numFmtId="165" fontId="72" fillId="0" borderId="64" xfId="0" applyNumberFormat="1" applyFont="1" applyBorder="1" applyAlignment="1" applyProtection="1">
      <alignment horizontal="center"/>
    </xf>
    <xf numFmtId="164" fontId="72" fillId="0" borderId="0" xfId="3" applyNumberFormat="1" applyFont="1" applyProtection="1"/>
    <xf numFmtId="171" fontId="72" fillId="13" borderId="27" xfId="0" applyFont="1" applyFill="1" applyBorder="1" applyAlignment="1" applyProtection="1">
      <alignment horizontal="left"/>
    </xf>
    <xf numFmtId="171" fontId="72" fillId="0" borderId="15" xfId="0" applyFont="1" applyFill="1" applyBorder="1" applyAlignment="1" applyProtection="1">
      <alignment horizontal="left"/>
    </xf>
    <xf numFmtId="164" fontId="72" fillId="4" borderId="2" xfId="3" applyNumberFormat="1" applyFont="1" applyFill="1" applyBorder="1" applyAlignment="1" applyProtection="1">
      <alignment horizontal="right"/>
      <protection locked="0"/>
    </xf>
    <xf numFmtId="164" fontId="72" fillId="4" borderId="20" xfId="3" applyNumberFormat="1" applyFont="1" applyFill="1" applyBorder="1" applyAlignment="1" applyProtection="1">
      <alignment horizontal="right"/>
      <protection locked="0"/>
    </xf>
    <xf numFmtId="164" fontId="75" fillId="0" borderId="0" xfId="0" applyNumberFormat="1" applyFont="1" applyProtection="1"/>
    <xf numFmtId="171" fontId="73" fillId="0" borderId="28" xfId="0" applyFont="1" applyFill="1" applyBorder="1" applyProtection="1"/>
    <xf numFmtId="171" fontId="73" fillId="0" borderId="46" xfId="0" applyFont="1" applyBorder="1" applyProtection="1"/>
    <xf numFmtId="164" fontId="73" fillId="0" borderId="49" xfId="3" applyNumberFormat="1" applyFont="1" applyBorder="1" applyProtection="1"/>
    <xf numFmtId="164" fontId="73" fillId="9" borderId="46" xfId="3" applyNumberFormat="1" applyFont="1" applyFill="1" applyBorder="1" applyProtection="1"/>
    <xf numFmtId="171" fontId="73" fillId="0" borderId="0" xfId="0" applyFont="1" applyFill="1" applyBorder="1" applyProtection="1"/>
    <xf numFmtId="171" fontId="73" fillId="0" borderId="0" xfId="0" applyFont="1" applyBorder="1" applyProtection="1"/>
    <xf numFmtId="164" fontId="73" fillId="9" borderId="49" xfId="3" applyNumberFormat="1" applyFont="1" applyFill="1" applyBorder="1" applyProtection="1"/>
    <xf numFmtId="171" fontId="71" fillId="0" borderId="0" xfId="0" applyFont="1" applyFill="1" applyProtection="1"/>
    <xf numFmtId="171" fontId="71" fillId="0" borderId="0" xfId="0" applyFont="1" applyProtection="1"/>
    <xf numFmtId="171" fontId="74" fillId="0" borderId="0" xfId="0" applyFont="1" applyProtection="1"/>
    <xf numFmtId="164" fontId="72" fillId="0" borderId="0" xfId="0" applyNumberFormat="1" applyFont="1" applyFill="1" applyBorder="1" applyProtection="1"/>
    <xf numFmtId="171" fontId="73" fillId="0" borderId="0" xfId="0" applyFont="1" applyFill="1" applyBorder="1" applyAlignment="1" applyProtection="1"/>
    <xf numFmtId="14" fontId="72" fillId="0" borderId="0" xfId="0" applyNumberFormat="1" applyFont="1" applyProtection="1"/>
    <xf numFmtId="171" fontId="76" fillId="0" borderId="0" xfId="0" applyNumberFormat="1" applyFont="1" applyFill="1" applyAlignment="1" applyProtection="1">
      <alignment horizontal="center"/>
    </xf>
    <xf numFmtId="171" fontId="76" fillId="0" borderId="0" xfId="0" applyFont="1" applyFill="1" applyProtection="1"/>
    <xf numFmtId="49" fontId="77" fillId="0" borderId="0" xfId="2" applyNumberFormat="1" applyFont="1" applyAlignment="1" applyProtection="1">
      <alignment horizontal="center" wrapText="1"/>
    </xf>
    <xf numFmtId="5" fontId="78" fillId="0" borderId="0" xfId="100" applyNumberFormat="1" applyFont="1" applyAlignment="1" applyProtection="1">
      <alignment horizontal="center"/>
    </xf>
    <xf numFmtId="1" fontId="28" fillId="0" borderId="2" xfId="0" applyNumberFormat="1" applyFont="1" applyBorder="1" applyAlignment="1" applyProtection="1">
      <alignment horizontal="center"/>
    </xf>
    <xf numFmtId="1" fontId="28" fillId="0" borderId="23" xfId="0" applyNumberFormat="1" applyFont="1" applyBorder="1" applyAlignment="1" applyProtection="1">
      <alignment horizontal="center"/>
    </xf>
    <xf numFmtId="171" fontId="79" fillId="0" borderId="0" xfId="0" applyFont="1" applyAlignment="1" applyProtection="1">
      <alignment vertical="center"/>
    </xf>
    <xf numFmtId="171" fontId="79" fillId="0" borderId="0" xfId="0" applyFont="1"/>
    <xf numFmtId="171" fontId="79" fillId="0" borderId="0" xfId="0" applyFont="1" applyAlignment="1" applyProtection="1">
      <alignment horizontal="centerContinuous" vertical="center"/>
    </xf>
    <xf numFmtId="171" fontId="81" fillId="0" borderId="0" xfId="0" applyFont="1" applyAlignment="1" applyProtection="1">
      <alignment horizontal="left" vertical="center"/>
    </xf>
    <xf numFmtId="171" fontId="81" fillId="0" borderId="0" xfId="0" applyFont="1" applyAlignment="1" applyProtection="1">
      <alignment horizontal="right" vertical="center"/>
    </xf>
    <xf numFmtId="1" fontId="82" fillId="2" borderId="0" xfId="0" applyNumberFormat="1" applyFont="1" applyFill="1" applyAlignment="1" applyProtection="1">
      <alignment horizontal="center" vertical="center"/>
    </xf>
    <xf numFmtId="171" fontId="79" fillId="0" borderId="0" xfId="0" applyFont="1" applyAlignment="1" applyProtection="1">
      <alignment horizontal="right" vertical="center"/>
    </xf>
    <xf numFmtId="171" fontId="79" fillId="0" borderId="0" xfId="0" quotePrefix="1" applyFont="1" applyAlignment="1" applyProtection="1">
      <alignment horizontal="left" vertical="center" wrapText="1"/>
    </xf>
    <xf numFmtId="171" fontId="80" fillId="0" borderId="0" xfId="0" applyFont="1" applyAlignment="1" applyProtection="1">
      <alignment horizontal="left" vertical="center"/>
    </xf>
    <xf numFmtId="171" fontId="79" fillId="0" borderId="0" xfId="0" applyFont="1" applyFill="1" applyAlignment="1" applyProtection="1">
      <alignment horizontal="center" vertical="center"/>
    </xf>
    <xf numFmtId="171" fontId="80" fillId="0" borderId="0" xfId="0" applyFont="1" applyFill="1" applyAlignment="1" applyProtection="1">
      <alignment horizontal="right" vertical="center"/>
    </xf>
    <xf numFmtId="1" fontId="79" fillId="0" borderId="0" xfId="0" applyNumberFormat="1" applyFont="1" applyFill="1" applyAlignment="1" applyProtection="1">
      <alignment horizontal="center" vertical="center"/>
    </xf>
    <xf numFmtId="171" fontId="81" fillId="0" borderId="0" xfId="0" applyFont="1" applyAlignment="1" applyProtection="1"/>
    <xf numFmtId="171" fontId="80" fillId="0" borderId="0" xfId="0" applyFont="1" applyAlignment="1" applyProtection="1">
      <alignment horizontal="right" vertical="center"/>
    </xf>
    <xf numFmtId="171" fontId="80" fillId="0" borderId="0" xfId="0" applyFont="1" applyAlignment="1" applyProtection="1">
      <alignment horizontal="center" vertical="center"/>
    </xf>
    <xf numFmtId="171" fontId="83" fillId="0" borderId="0" xfId="0" applyFont="1" applyAlignment="1" applyProtection="1">
      <alignment horizontal="left" vertical="center"/>
    </xf>
    <xf numFmtId="5" fontId="79" fillId="2" borderId="0" xfId="3" applyNumberFormat="1" applyFont="1" applyFill="1" applyAlignment="1" applyProtection="1">
      <alignment horizontal="right" vertical="center"/>
    </xf>
    <xf numFmtId="169" fontId="79" fillId="2" borderId="0" xfId="9" applyNumberFormat="1" applyFont="1" applyFill="1" applyAlignment="1" applyProtection="1">
      <alignment horizontal="center" vertical="center"/>
    </xf>
    <xf numFmtId="9" fontId="79" fillId="0" borderId="0" xfId="9" applyFont="1" applyFill="1" applyAlignment="1" applyProtection="1">
      <alignment horizontal="right" vertical="center"/>
    </xf>
    <xf numFmtId="9" fontId="79" fillId="0" borderId="0" xfId="9" applyFont="1" applyAlignment="1" applyProtection="1">
      <alignment horizontal="right" vertical="center"/>
    </xf>
    <xf numFmtId="171" fontId="79" fillId="0" borderId="0" xfId="0" applyFont="1" applyFill="1" applyBorder="1" applyAlignment="1" applyProtection="1">
      <alignment vertical="center"/>
    </xf>
    <xf numFmtId="165" fontId="79" fillId="0" borderId="0" xfId="9" applyNumberFormat="1" applyFont="1" applyAlignment="1" applyProtection="1">
      <alignment horizontal="center" vertical="center"/>
    </xf>
    <xf numFmtId="171" fontId="83" fillId="0" borderId="0" xfId="0" applyFont="1" applyFill="1" applyAlignment="1" applyProtection="1">
      <alignment horizontal="left" vertical="center"/>
    </xf>
    <xf numFmtId="171" fontId="79" fillId="0" borderId="0" xfId="0" applyFont="1" applyFill="1" applyAlignment="1" applyProtection="1">
      <alignment vertical="center"/>
    </xf>
    <xf numFmtId="165" fontId="79" fillId="3" borderId="0" xfId="3" applyNumberFormat="1" applyFont="1" applyFill="1" applyAlignment="1" applyProtection="1">
      <alignment horizontal="right" vertical="center"/>
    </xf>
    <xf numFmtId="171" fontId="83" fillId="3" borderId="0" xfId="0" applyFont="1" applyFill="1" applyAlignment="1" applyProtection="1">
      <alignment horizontal="left" vertical="center"/>
    </xf>
    <xf numFmtId="43" fontId="79" fillId="2" borderId="0" xfId="1" applyFont="1" applyFill="1" applyAlignment="1" applyProtection="1">
      <alignment horizontal="right" vertical="center"/>
    </xf>
    <xf numFmtId="166" fontId="79" fillId="0" borderId="0" xfId="9" applyNumberFormat="1" applyFont="1" applyAlignment="1" applyProtection="1">
      <alignment horizontal="center" vertical="center"/>
    </xf>
    <xf numFmtId="2" fontId="79" fillId="0" borderId="0" xfId="0" applyNumberFormat="1" applyFont="1" applyFill="1" applyAlignment="1" applyProtection="1">
      <alignment horizontal="right" vertical="center"/>
    </xf>
    <xf numFmtId="10" fontId="79" fillId="2" borderId="0" xfId="3" applyNumberFormat="1" applyFont="1" applyFill="1" applyAlignment="1" applyProtection="1">
      <alignment horizontal="right" vertical="center"/>
    </xf>
    <xf numFmtId="10" fontId="79" fillId="0" borderId="2" xfId="3" applyNumberFormat="1" applyFont="1" applyFill="1" applyBorder="1" applyAlignment="1" applyProtection="1">
      <alignment horizontal="center" vertical="center"/>
    </xf>
    <xf numFmtId="10" fontId="79" fillId="0" borderId="3" xfId="9" applyNumberFormat="1" applyFont="1" applyFill="1" applyBorder="1" applyAlignment="1" applyProtection="1">
      <alignment horizontal="center" vertical="center"/>
    </xf>
    <xf numFmtId="6" fontId="79" fillId="0" borderId="0" xfId="0" applyNumberFormat="1" applyFont="1" applyFill="1" applyAlignment="1" applyProtection="1">
      <alignment horizontal="right" vertical="center" wrapText="1"/>
    </xf>
    <xf numFmtId="171" fontId="79" fillId="0" borderId="0" xfId="0" applyFont="1" applyAlignment="1" applyProtection="1">
      <alignment horizontal="center" vertical="center"/>
    </xf>
    <xf numFmtId="171" fontId="79" fillId="0" borderId="0" xfId="0" applyFont="1" applyAlignment="1" applyProtection="1">
      <alignment horizontal="left" vertical="center"/>
    </xf>
    <xf numFmtId="10" fontId="79" fillId="0" borderId="0" xfId="9" applyNumberFormat="1" applyFont="1" applyFill="1" applyAlignment="1" applyProtection="1">
      <alignment horizontal="center" vertical="center"/>
    </xf>
    <xf numFmtId="9" fontId="79" fillId="0" borderId="0" xfId="0" applyNumberFormat="1" applyFont="1" applyFill="1" applyAlignment="1" applyProtection="1">
      <alignment horizontal="right" vertical="center"/>
    </xf>
    <xf numFmtId="10" fontId="79" fillId="0" borderId="0" xfId="0" applyNumberFormat="1" applyFont="1" applyAlignment="1" applyProtection="1">
      <alignment vertical="center"/>
    </xf>
    <xf numFmtId="10" fontId="79" fillId="0" borderId="0" xfId="9" applyNumberFormat="1" applyFont="1" applyAlignment="1" applyProtection="1">
      <alignment vertical="center"/>
    </xf>
    <xf numFmtId="10" fontId="79" fillId="0" borderId="0" xfId="0" applyNumberFormat="1" applyFont="1" applyFill="1" applyAlignment="1" applyProtection="1">
      <alignment horizontal="right" vertical="center"/>
    </xf>
    <xf numFmtId="9" fontId="79" fillId="0" borderId="0" xfId="0" applyNumberFormat="1" applyFont="1" applyAlignment="1" applyProtection="1">
      <alignment horizontal="center" vertical="center"/>
    </xf>
    <xf numFmtId="10" fontId="79" fillId="0" borderId="0" xfId="0" applyNumberFormat="1" applyFont="1" applyAlignment="1" applyProtection="1">
      <alignment horizontal="right" vertical="center"/>
    </xf>
    <xf numFmtId="10" fontId="79" fillId="0" borderId="0" xfId="0" applyNumberFormat="1" applyFont="1" applyFill="1" applyAlignment="1" applyProtection="1">
      <alignment horizontal="center" vertical="center"/>
    </xf>
    <xf numFmtId="171" fontId="79" fillId="0" borderId="10" xfId="0" applyFont="1" applyBorder="1" applyAlignment="1" applyProtection="1">
      <alignment vertical="center"/>
    </xf>
    <xf numFmtId="171" fontId="79" fillId="0" borderId="25" xfId="0" applyFont="1" applyBorder="1" applyAlignment="1" applyProtection="1">
      <alignment vertical="center"/>
    </xf>
    <xf numFmtId="39" fontId="79" fillId="2" borderId="14" xfId="0" applyNumberFormat="1" applyFont="1" applyFill="1" applyBorder="1" applyAlignment="1" applyProtection="1">
      <alignment vertical="center"/>
    </xf>
    <xf numFmtId="171" fontId="79" fillId="0" borderId="0" xfId="0" applyFont="1" applyFill="1" applyAlignment="1" applyProtection="1">
      <alignment horizontal="right" vertical="center"/>
    </xf>
    <xf numFmtId="44" fontId="79" fillId="2" borderId="0" xfId="3" applyNumberFormat="1" applyFont="1" applyFill="1" applyAlignment="1" applyProtection="1">
      <alignment horizontal="right" vertical="center"/>
    </xf>
    <xf numFmtId="2" fontId="79" fillId="2" borderId="14" xfId="0" applyNumberFormat="1" applyFont="1" applyFill="1" applyBorder="1" applyAlignment="1" applyProtection="1">
      <alignment vertical="center"/>
    </xf>
    <xf numFmtId="171" fontId="79" fillId="13" borderId="0" xfId="0" applyFont="1" applyFill="1" applyAlignment="1" applyProtection="1">
      <alignment vertical="center"/>
    </xf>
    <xf numFmtId="165" fontId="79" fillId="2" borderId="14" xfId="0" applyNumberFormat="1" applyFont="1" applyFill="1" applyBorder="1" applyAlignment="1" applyProtection="1">
      <alignment vertical="center"/>
    </xf>
    <xf numFmtId="165" fontId="79" fillId="13" borderId="0" xfId="0" applyNumberFormat="1" applyFont="1" applyFill="1" applyBorder="1" applyAlignment="1" applyProtection="1">
      <alignment horizontal="right" vertical="center"/>
    </xf>
    <xf numFmtId="6" fontId="79" fillId="0" borderId="0" xfId="0" applyNumberFormat="1" applyFont="1" applyAlignment="1" applyProtection="1">
      <alignment horizontal="right" vertical="center"/>
    </xf>
    <xf numFmtId="10" fontId="79" fillId="2" borderId="0" xfId="9" applyNumberFormat="1" applyFont="1" applyFill="1" applyBorder="1" applyAlignment="1" applyProtection="1">
      <alignment horizontal="center" vertical="center"/>
    </xf>
    <xf numFmtId="9" fontId="79" fillId="0" borderId="0" xfId="0" applyNumberFormat="1" applyFont="1" applyAlignment="1" applyProtection="1">
      <alignment horizontal="right" vertical="center"/>
    </xf>
    <xf numFmtId="10" fontId="79" fillId="13" borderId="0" xfId="9" applyNumberFormat="1" applyFont="1" applyFill="1" applyBorder="1" applyAlignment="1" applyProtection="1">
      <alignment horizontal="center" vertical="center"/>
    </xf>
    <xf numFmtId="37" fontId="79" fillId="2" borderId="14" xfId="0" applyNumberFormat="1" applyFont="1" applyFill="1" applyBorder="1" applyAlignment="1" applyProtection="1">
      <alignment horizontal="center" vertical="center"/>
    </xf>
    <xf numFmtId="167" fontId="79" fillId="0" borderId="0" xfId="0" applyNumberFormat="1" applyFont="1" applyFill="1" applyAlignment="1" applyProtection="1">
      <alignment horizontal="right" vertical="center"/>
    </xf>
    <xf numFmtId="14" fontId="79" fillId="0" borderId="0" xfId="0" applyNumberFormat="1" applyFont="1" applyAlignment="1" applyProtection="1">
      <alignment horizontal="right" vertical="center"/>
    </xf>
    <xf numFmtId="171" fontId="80" fillId="0" borderId="0" xfId="0" applyFont="1" applyAlignment="1" applyProtection="1">
      <alignment vertical="center"/>
    </xf>
    <xf numFmtId="1" fontId="17" fillId="4" borderId="3" xfId="0" applyNumberFormat="1" applyFont="1" applyFill="1" applyBorder="1" applyProtection="1">
      <protection locked="0"/>
    </xf>
    <xf numFmtId="1" fontId="17" fillId="4" borderId="2" xfId="0" applyNumberFormat="1" applyFont="1" applyFill="1" applyBorder="1" applyProtection="1">
      <protection locked="0"/>
    </xf>
    <xf numFmtId="1" fontId="17" fillId="4" borderId="7" xfId="0" applyNumberFormat="1" applyFont="1" applyFill="1" applyBorder="1" applyProtection="1">
      <protection locked="0"/>
    </xf>
    <xf numFmtId="1" fontId="17" fillId="4" borderId="8" xfId="0" applyNumberFormat="1" applyFont="1" applyFill="1" applyBorder="1" applyProtection="1">
      <protection locked="0"/>
    </xf>
    <xf numFmtId="1" fontId="17" fillId="4" borderId="6" xfId="0" applyNumberFormat="1" applyFont="1" applyFill="1" applyBorder="1" applyProtection="1">
      <protection locked="0"/>
    </xf>
    <xf numFmtId="1" fontId="17" fillId="4" borderId="9" xfId="0" applyNumberFormat="1" applyFont="1" applyFill="1" applyBorder="1" applyProtection="1">
      <protection locked="0"/>
    </xf>
    <xf numFmtId="1" fontId="17" fillId="4" borderId="10" xfId="0" applyNumberFormat="1" applyFont="1" applyFill="1" applyBorder="1" applyProtection="1">
      <protection locked="0"/>
    </xf>
    <xf numFmtId="1" fontId="17" fillId="4" borderId="12" xfId="0" applyNumberFormat="1" applyFont="1" applyFill="1" applyBorder="1" applyProtection="1">
      <protection locked="0"/>
    </xf>
    <xf numFmtId="1" fontId="17" fillId="4" borderId="20" xfId="0" applyNumberFormat="1" applyFont="1" applyFill="1" applyBorder="1" applyProtection="1">
      <protection locked="0"/>
    </xf>
    <xf numFmtId="44" fontId="17" fillId="0" borderId="41" xfId="3" applyNumberFormat="1" applyFont="1" applyBorder="1" applyProtection="1"/>
    <xf numFmtId="44" fontId="17" fillId="0" borderId="25" xfId="3" applyNumberFormat="1" applyFont="1" applyBorder="1" applyProtection="1"/>
    <xf numFmtId="44" fontId="17" fillId="0" borderId="60" xfId="3" applyNumberFormat="1" applyFont="1" applyBorder="1" applyProtection="1"/>
    <xf numFmtId="44" fontId="17" fillId="0" borderId="72" xfId="3" applyNumberFormat="1" applyFont="1" applyBorder="1" applyProtection="1"/>
    <xf numFmtId="44" fontId="17" fillId="0" borderId="39" xfId="3" applyNumberFormat="1" applyFont="1" applyBorder="1" applyProtection="1"/>
    <xf numFmtId="44" fontId="17" fillId="0" borderId="4" xfId="3" applyNumberFormat="1" applyFont="1" applyBorder="1" applyProtection="1"/>
    <xf numFmtId="44" fontId="17" fillId="0" borderId="42" xfId="3" applyNumberFormat="1" applyFont="1" applyBorder="1" applyProtection="1"/>
    <xf numFmtId="164" fontId="17" fillId="0" borderId="71" xfId="3" applyNumberFormat="1" applyFont="1" applyBorder="1" applyProtection="1"/>
    <xf numFmtId="44" fontId="17" fillId="4" borderId="50" xfId="3" applyNumberFormat="1" applyFont="1" applyFill="1" applyBorder="1" applyProtection="1">
      <protection locked="0"/>
    </xf>
    <xf numFmtId="44" fontId="17" fillId="0" borderId="41" xfId="3" applyNumberFormat="1" applyFont="1" applyFill="1" applyBorder="1" applyProtection="1">
      <protection locked="0"/>
    </xf>
    <xf numFmtId="44" fontId="17" fillId="4" borderId="51" xfId="3" applyNumberFormat="1" applyFont="1" applyFill="1" applyBorder="1" applyProtection="1">
      <protection locked="0"/>
    </xf>
    <xf numFmtId="44" fontId="17" fillId="0" borderId="39" xfId="3" applyNumberFormat="1" applyFont="1" applyFill="1" applyBorder="1" applyProtection="1">
      <protection locked="0"/>
    </xf>
    <xf numFmtId="44" fontId="17" fillId="4" borderId="73" xfId="3" applyNumberFormat="1" applyFont="1" applyFill="1" applyBorder="1" applyProtection="1">
      <protection locked="0"/>
    </xf>
    <xf numFmtId="44" fontId="17" fillId="0" borderId="43" xfId="3" applyNumberFormat="1" applyFont="1" applyFill="1" applyBorder="1" applyProtection="1">
      <protection locked="0"/>
    </xf>
    <xf numFmtId="44" fontId="17" fillId="0" borderId="74" xfId="3" applyNumberFormat="1" applyFont="1" applyFill="1" applyBorder="1" applyProtection="1">
      <protection locked="0"/>
    </xf>
    <xf numFmtId="44" fontId="17" fillId="0" borderId="21" xfId="3" applyNumberFormat="1" applyFont="1" applyFill="1" applyBorder="1" applyProtection="1">
      <protection locked="0"/>
    </xf>
    <xf numFmtId="44" fontId="17" fillId="4" borderId="44" xfId="3" applyNumberFormat="1" applyFont="1" applyFill="1" applyBorder="1" applyProtection="1">
      <protection locked="0"/>
    </xf>
    <xf numFmtId="44" fontId="17" fillId="0" borderId="50" xfId="3" applyNumberFormat="1" applyFont="1" applyFill="1" applyBorder="1" applyProtection="1">
      <protection locked="0"/>
    </xf>
    <xf numFmtId="44" fontId="17" fillId="4" borderId="10" xfId="3" applyNumberFormat="1" applyFont="1" applyFill="1" applyBorder="1" applyProtection="1">
      <protection locked="0"/>
    </xf>
    <xf numFmtId="44" fontId="17" fillId="0" borderId="51" xfId="3" applyNumberFormat="1" applyFont="1" applyFill="1" applyBorder="1" applyProtection="1">
      <protection locked="0"/>
    </xf>
    <xf numFmtId="44" fontId="17" fillId="4" borderId="11" xfId="3" applyNumberFormat="1" applyFont="1" applyFill="1" applyBorder="1" applyProtection="1">
      <protection locked="0"/>
    </xf>
    <xf numFmtId="44" fontId="17" fillId="0" borderId="31" xfId="3" applyNumberFormat="1" applyFont="1" applyFill="1" applyBorder="1" applyProtection="1">
      <protection locked="0"/>
    </xf>
    <xf numFmtId="44" fontId="17" fillId="4" borderId="9" xfId="3" applyNumberFormat="1" applyFont="1" applyFill="1" applyBorder="1" applyProtection="1">
      <protection locked="0"/>
    </xf>
    <xf numFmtId="44" fontId="17" fillId="0" borderId="53" xfId="3" applyNumberFormat="1" applyFont="1" applyFill="1" applyBorder="1" applyProtection="1">
      <protection locked="0"/>
    </xf>
    <xf numFmtId="1" fontId="17" fillId="0" borderId="54" xfId="0" applyNumberFormat="1" applyFont="1" applyBorder="1" applyProtection="1"/>
    <xf numFmtId="1" fontId="17" fillId="0" borderId="47" xfId="0" applyNumberFormat="1" applyFont="1" applyFill="1" applyBorder="1" applyProtection="1"/>
    <xf numFmtId="167" fontId="79" fillId="0" borderId="0" xfId="0" applyNumberFormat="1" applyFont="1" applyAlignment="1" applyProtection="1">
      <alignment horizontal="right" vertical="center"/>
    </xf>
    <xf numFmtId="171" fontId="9" fillId="0" borderId="2" xfId="0" applyFont="1" applyBorder="1"/>
    <xf numFmtId="1" fontId="17" fillId="13" borderId="0" xfId="0" applyNumberFormat="1" applyFont="1" applyFill="1" applyAlignment="1" applyProtection="1">
      <alignment horizontal="center" vertical="center"/>
    </xf>
    <xf numFmtId="171" fontId="88" fillId="0" borderId="0" xfId="0" applyFont="1" applyFill="1" applyAlignment="1" applyProtection="1"/>
    <xf numFmtId="171" fontId="89" fillId="0" borderId="0" xfId="0" applyFont="1" applyProtection="1"/>
    <xf numFmtId="171" fontId="89" fillId="0" borderId="0" xfId="0" applyFont="1" applyFill="1" applyProtection="1"/>
    <xf numFmtId="171" fontId="88" fillId="0" borderId="0" xfId="0" applyFont="1" applyFill="1" applyAlignment="1" applyProtection="1">
      <alignment horizontal="center"/>
    </xf>
    <xf numFmtId="171" fontId="90" fillId="0" borderId="0" xfId="0" applyFont="1" applyFill="1" applyAlignment="1" applyProtection="1"/>
    <xf numFmtId="171" fontId="89" fillId="0" borderId="0" xfId="0" applyFont="1" applyAlignment="1" applyProtection="1">
      <alignment vertical="center"/>
    </xf>
    <xf numFmtId="171" fontId="91" fillId="0" borderId="0" xfId="0" applyFont="1" applyAlignment="1" applyProtection="1">
      <alignment vertical="center"/>
    </xf>
    <xf numFmtId="171" fontId="92" fillId="0" borderId="0" xfId="0" applyFont="1" applyAlignment="1" applyProtection="1">
      <alignment horizontal="right" vertical="center"/>
    </xf>
    <xf numFmtId="171" fontId="89" fillId="0" borderId="0" xfId="0" applyFont="1" applyAlignment="1" applyProtection="1">
      <alignment horizontal="right" vertical="center"/>
    </xf>
    <xf numFmtId="14" fontId="93" fillId="4" borderId="4" xfId="0" applyNumberFormat="1" applyFont="1" applyFill="1" applyBorder="1" applyAlignment="1" applyProtection="1">
      <alignment vertical="center"/>
      <protection locked="0"/>
    </xf>
    <xf numFmtId="171" fontId="89" fillId="0" borderId="0" xfId="0" applyFont="1" applyAlignment="1" applyProtection="1">
      <alignment horizontal="left" vertical="center"/>
    </xf>
    <xf numFmtId="49" fontId="93" fillId="4" borderId="25" xfId="0" applyNumberFormat="1" applyFont="1" applyFill="1" applyBorder="1" applyAlignment="1" applyProtection="1">
      <alignment horizontal="center" vertical="center"/>
      <protection locked="0"/>
    </xf>
    <xf numFmtId="171" fontId="94" fillId="0" borderId="0" xfId="0" applyFont="1" applyAlignment="1" applyProtection="1">
      <alignment horizontal="center" vertical="center" wrapText="1"/>
    </xf>
    <xf numFmtId="49" fontId="93" fillId="4" borderId="25" xfId="0" applyNumberFormat="1" applyFont="1" applyFill="1" applyBorder="1" applyAlignment="1" applyProtection="1">
      <alignment horizontal="center" vertical="center" wrapText="1"/>
      <protection locked="0"/>
    </xf>
    <xf numFmtId="1" fontId="93" fillId="4" borderId="0" xfId="0" applyNumberFormat="1" applyFont="1" applyFill="1" applyBorder="1" applyAlignment="1" applyProtection="1">
      <alignment horizontal="center" vertical="center" wrapText="1"/>
      <protection locked="0"/>
    </xf>
    <xf numFmtId="49" fontId="93" fillId="0" borderId="0" xfId="0" applyNumberFormat="1" applyFont="1" applyFill="1" applyBorder="1" applyAlignment="1" applyProtection="1">
      <alignment horizontal="center" vertical="center"/>
      <protection locked="0"/>
    </xf>
    <xf numFmtId="171" fontId="23" fillId="0" borderId="0" xfId="0" applyFont="1" applyFill="1" applyAlignment="1" applyProtection="1"/>
    <xf numFmtId="171" fontId="17" fillId="0" borderId="62" xfId="48" applyFont="1" applyFill="1" applyBorder="1" applyAlignment="1" applyProtection="1">
      <alignment horizontal="left" vertical="center"/>
    </xf>
    <xf numFmtId="171" fontId="17" fillId="0" borderId="14" xfId="48" applyFont="1" applyFill="1" applyBorder="1" applyAlignment="1" applyProtection="1">
      <alignment horizontal="left" vertical="center"/>
    </xf>
    <xf numFmtId="49" fontId="26" fillId="4" borderId="25" xfId="0" applyNumberFormat="1" applyFont="1" applyFill="1" applyBorder="1" applyAlignment="1" applyProtection="1">
      <alignment horizontal="center" vertical="center"/>
      <protection locked="0"/>
    </xf>
    <xf numFmtId="171" fontId="17" fillId="0" borderId="0" xfId="0" applyFont="1" applyFill="1" applyAlignment="1" applyProtection="1">
      <alignment horizontal="right" vertical="center"/>
    </xf>
    <xf numFmtId="6" fontId="17" fillId="0" borderId="0" xfId="0" applyNumberFormat="1" applyFont="1" applyFill="1" applyAlignment="1" applyProtection="1">
      <alignment horizontal="right" vertical="center"/>
    </xf>
    <xf numFmtId="9" fontId="17" fillId="0" borderId="0" xfId="0" applyNumberFormat="1" applyFont="1" applyFill="1" applyAlignment="1" applyProtection="1">
      <alignment horizontal="right" vertical="center"/>
    </xf>
    <xf numFmtId="10" fontId="31" fillId="0" borderId="0" xfId="3" applyNumberFormat="1" applyFont="1" applyFill="1" applyBorder="1" applyAlignment="1" applyProtection="1">
      <alignment vertical="center"/>
    </xf>
    <xf numFmtId="168" fontId="17" fillId="4" borderId="2" xfId="1" applyNumberFormat="1" applyFont="1" applyFill="1" applyBorder="1" applyAlignment="1" applyProtection="1">
      <protection locked="0"/>
    </xf>
    <xf numFmtId="168" fontId="17" fillId="0" borderId="2" xfId="1" applyNumberFormat="1" applyFont="1" applyFill="1" applyBorder="1" applyAlignment="1" applyProtection="1"/>
    <xf numFmtId="169" fontId="79" fillId="2" borderId="0" xfId="9" applyNumberFormat="1" applyFont="1" applyFill="1" applyAlignment="1" applyProtection="1">
      <alignment horizontal="right" vertical="center"/>
    </xf>
    <xf numFmtId="1" fontId="17" fillId="0" borderId="0" xfId="0" applyNumberFormat="1" applyFont="1" applyAlignment="1" applyProtection="1">
      <alignment horizontal="center" vertical="center"/>
    </xf>
    <xf numFmtId="171" fontId="9" fillId="15" borderId="2" xfId="0" applyFont="1" applyFill="1" applyBorder="1"/>
    <xf numFmtId="171" fontId="9" fillId="0" borderId="0" xfId="0" applyFont="1"/>
    <xf numFmtId="0" fontId="77" fillId="0" borderId="0" xfId="135" quotePrefix="1" applyNumberFormat="1" applyFont="1" applyAlignment="1" applyProtection="1">
      <alignment horizontal="center"/>
    </xf>
    <xf numFmtId="0" fontId="95" fillId="0" borderId="0" xfId="136"/>
    <xf numFmtId="171" fontId="9" fillId="0" borderId="0" xfId="0" applyFont="1" applyProtection="1"/>
    <xf numFmtId="0" fontId="78" fillId="0" borderId="0" xfId="135" applyNumberFormat="1" applyFont="1" applyProtection="1"/>
    <xf numFmtId="165" fontId="14" fillId="0" borderId="0" xfId="137" applyNumberFormat="1" applyProtection="1"/>
    <xf numFmtId="5" fontId="1" fillId="0" borderId="0" xfId="100" quotePrefix="1" applyNumberFormat="1" applyFont="1" applyAlignment="1" applyProtection="1">
      <alignment horizontal="center"/>
    </xf>
    <xf numFmtId="5" fontId="14" fillId="0" borderId="0" xfId="100" quotePrefix="1" applyNumberFormat="1" applyFont="1" applyProtection="1"/>
    <xf numFmtId="165" fontId="14" fillId="0" borderId="0" xfId="137" quotePrefix="1" applyNumberFormat="1" applyProtection="1"/>
    <xf numFmtId="165" fontId="1" fillId="0" borderId="0" xfId="138" applyNumberFormat="1" applyFont="1"/>
    <xf numFmtId="0" fontId="78" fillId="0" borderId="0" xfId="135" quotePrefix="1" applyNumberFormat="1" applyFont="1" applyProtection="1"/>
    <xf numFmtId="171" fontId="78" fillId="0" borderId="0" xfId="135" quotePrefix="1" applyNumberFormat="1" applyFont="1" applyProtection="1"/>
    <xf numFmtId="165" fontId="14" fillId="0" borderId="0" xfId="137" applyNumberFormat="1" applyFont="1" applyProtection="1"/>
    <xf numFmtId="165" fontId="14" fillId="0" borderId="0" xfId="137" quotePrefix="1" applyNumberFormat="1" applyFont="1" applyProtection="1"/>
    <xf numFmtId="165" fontId="1" fillId="0" borderId="0" xfId="139" applyNumberFormat="1" applyFont="1"/>
    <xf numFmtId="0" fontId="95" fillId="0" borderId="0" xfId="136" applyNumberFormat="1" applyProtection="1"/>
    <xf numFmtId="171" fontId="9" fillId="0" borderId="0" xfId="0" applyNumberFormat="1" applyFont="1" applyProtection="1"/>
    <xf numFmtId="165" fontId="9" fillId="0" borderId="0" xfId="0" applyNumberFormat="1" applyFont="1" applyProtection="1"/>
    <xf numFmtId="3" fontId="17" fillId="0" borderId="7" xfId="3" applyNumberFormat="1" applyFont="1" applyFill="1" applyBorder="1" applyAlignment="1" applyProtection="1">
      <alignment horizontal="left" wrapText="1"/>
    </xf>
    <xf numFmtId="3" fontId="17" fillId="4" borderId="7" xfId="3" applyNumberFormat="1" applyFont="1" applyFill="1" applyBorder="1" applyAlignment="1" applyProtection="1">
      <alignment horizontal="left" wrapText="1"/>
      <protection locked="0"/>
    </xf>
    <xf numFmtId="171" fontId="77" fillId="0" borderId="0" xfId="135" quotePrefix="1" applyNumberFormat="1" applyFont="1" applyAlignment="1">
      <alignment horizontal="center"/>
    </xf>
    <xf numFmtId="171" fontId="78" fillId="0" borderId="0" xfId="135" applyNumberFormat="1" applyFont="1"/>
    <xf numFmtId="1" fontId="0" fillId="0" borderId="0" xfId="0" applyNumberFormat="1"/>
    <xf numFmtId="171" fontId="78" fillId="0" borderId="0" xfId="135" quotePrefix="1" applyNumberFormat="1" applyFont="1"/>
    <xf numFmtId="168" fontId="17" fillId="0" borderId="21" xfId="1" applyNumberFormat="1" applyFont="1" applyFill="1" applyBorder="1" applyAlignment="1" applyProtection="1"/>
    <xf numFmtId="171" fontId="17" fillId="0" borderId="48" xfId="0" applyFont="1" applyBorder="1"/>
    <xf numFmtId="1" fontId="17" fillId="0" borderId="48" xfId="0" applyNumberFormat="1" applyFont="1" applyBorder="1"/>
    <xf numFmtId="1" fontId="17" fillId="4" borderId="23" xfId="1" applyNumberFormat="1" applyFont="1" applyFill="1" applyBorder="1" applyAlignment="1" applyProtection="1">
      <protection locked="0"/>
    </xf>
    <xf numFmtId="0" fontId="25" fillId="0" borderId="0" xfId="0" applyNumberFormat="1" applyFont="1" applyFill="1" applyBorder="1" applyAlignment="1" applyProtection="1">
      <alignment horizontal="right"/>
    </xf>
    <xf numFmtId="0" fontId="25" fillId="0" borderId="0" xfId="0" applyNumberFormat="1" applyFont="1" applyFill="1" applyBorder="1" applyAlignment="1" applyProtection="1">
      <alignment horizontal="center"/>
    </xf>
    <xf numFmtId="165" fontId="17" fillId="0" borderId="22" xfId="0" applyNumberFormat="1" applyFont="1" applyBorder="1"/>
    <xf numFmtId="164" fontId="23" fillId="0" borderId="0" xfId="0" applyNumberFormat="1" applyFont="1" applyAlignment="1" applyProtection="1">
      <alignment horizontal="center"/>
    </xf>
    <xf numFmtId="171" fontId="72" fillId="0" borderId="48" xfId="0" applyFont="1" applyBorder="1" applyProtection="1"/>
    <xf numFmtId="171" fontId="72" fillId="0" borderId="23" xfId="0" applyFont="1" applyBorder="1" applyProtection="1"/>
    <xf numFmtId="164" fontId="72" fillId="0" borderId="48" xfId="0" applyNumberFormat="1" applyFont="1" applyBorder="1" applyProtection="1"/>
    <xf numFmtId="44" fontId="72" fillId="0" borderId="48" xfId="0" applyNumberFormat="1" applyFont="1" applyBorder="1" applyProtection="1"/>
    <xf numFmtId="10" fontId="72" fillId="0" borderId="48" xfId="9" applyNumberFormat="1" applyFont="1" applyBorder="1" applyProtection="1"/>
    <xf numFmtId="165" fontId="17" fillId="0" borderId="23" xfId="0" applyNumberFormat="1" applyFont="1" applyBorder="1" applyAlignment="1" applyProtection="1">
      <alignment horizontal="left"/>
    </xf>
    <xf numFmtId="0" fontId="72" fillId="0" borderId="70" xfId="0" applyNumberFormat="1" applyFont="1" applyBorder="1" applyProtection="1"/>
    <xf numFmtId="165" fontId="17" fillId="0" borderId="40" xfId="0" applyNumberFormat="1" applyFont="1" applyBorder="1" applyAlignment="1" applyProtection="1">
      <alignment horizontal="left"/>
    </xf>
    <xf numFmtId="165" fontId="72" fillId="0" borderId="30" xfId="0" applyNumberFormat="1" applyFont="1" applyBorder="1" applyAlignment="1" applyProtection="1">
      <alignment horizontal="center"/>
    </xf>
    <xf numFmtId="168" fontId="17" fillId="4" borderId="7" xfId="1" applyNumberFormat="1" applyFont="1" applyFill="1" applyBorder="1" applyAlignment="1" applyProtection="1">
      <protection locked="0"/>
    </xf>
    <xf numFmtId="171" fontId="89" fillId="0" borderId="0" xfId="0" applyFont="1" applyBorder="1" applyProtection="1"/>
    <xf numFmtId="171" fontId="89" fillId="0" borderId="21" xfId="0" applyFont="1" applyBorder="1" applyProtection="1"/>
    <xf numFmtId="171" fontId="17" fillId="0" borderId="48" xfId="0" applyFont="1" applyFill="1" applyBorder="1" applyAlignment="1" applyProtection="1"/>
    <xf numFmtId="49" fontId="17" fillId="0" borderId="70" xfId="0" applyNumberFormat="1" applyFont="1" applyFill="1" applyBorder="1" applyAlignment="1" applyProtection="1">
      <alignment vertical="center"/>
    </xf>
    <xf numFmtId="43" fontId="17" fillId="4" borderId="8" xfId="1" applyFont="1" applyFill="1" applyBorder="1" applyAlignment="1" applyProtection="1">
      <alignment vertical="center"/>
      <protection locked="0"/>
    </xf>
    <xf numFmtId="0" fontId="72" fillId="0" borderId="48" xfId="0" applyNumberFormat="1" applyFont="1" applyBorder="1" applyProtection="1"/>
    <xf numFmtId="49" fontId="9" fillId="0" borderId="2" xfId="0" applyNumberFormat="1" applyFont="1" applyFill="1" applyBorder="1" applyAlignment="1">
      <alignment horizontal="center"/>
    </xf>
    <xf numFmtId="171" fontId="17" fillId="0" borderId="44" xfId="0" applyFont="1" applyBorder="1" applyAlignment="1" applyProtection="1">
      <alignment vertical="center"/>
    </xf>
    <xf numFmtId="171" fontId="17" fillId="0" borderId="10" xfId="0" applyFont="1" applyBorder="1" applyAlignment="1" applyProtection="1">
      <alignment vertical="center"/>
    </xf>
    <xf numFmtId="43" fontId="17" fillId="0" borderId="5" xfId="1" applyFont="1" applyFill="1" applyBorder="1" applyAlignment="1" applyProtection="1">
      <alignment vertical="center"/>
    </xf>
    <xf numFmtId="43" fontId="17" fillId="0" borderId="43" xfId="1" applyFont="1" applyFill="1" applyBorder="1" applyAlignment="1" applyProtection="1">
      <alignment vertical="center"/>
    </xf>
    <xf numFmtId="43" fontId="17" fillId="0" borderId="0" xfId="1" applyFont="1" applyFill="1" applyBorder="1" applyAlignment="1" applyProtection="1">
      <alignment vertical="center"/>
    </xf>
    <xf numFmtId="171" fontId="15" fillId="0" borderId="0" xfId="6" applyAlignment="1" applyProtection="1">
      <alignment vertical="center"/>
    </xf>
    <xf numFmtId="176" fontId="79" fillId="8" borderId="14" xfId="0" applyNumberFormat="1" applyFont="1" applyFill="1" applyBorder="1" applyAlignment="1" applyProtection="1">
      <alignment vertical="center"/>
    </xf>
    <xf numFmtId="176" fontId="79" fillId="8" borderId="16" xfId="0" applyNumberFormat="1" applyFont="1" applyFill="1" applyBorder="1" applyAlignment="1" applyProtection="1">
      <alignment vertical="center"/>
    </xf>
    <xf numFmtId="10" fontId="27" fillId="0" borderId="0" xfId="3" applyNumberFormat="1" applyFont="1" applyFill="1" applyBorder="1" applyAlignment="1" applyProtection="1">
      <alignment vertical="center"/>
    </xf>
    <xf numFmtId="171" fontId="98" fillId="0" borderId="0" xfId="0" applyFont="1"/>
    <xf numFmtId="171" fontId="67" fillId="32" borderId="2" xfId="0" applyFont="1" applyFill="1" applyBorder="1"/>
    <xf numFmtId="171" fontId="67" fillId="32" borderId="0" xfId="0" applyFont="1" applyFill="1"/>
    <xf numFmtId="171" fontId="67" fillId="0" borderId="0" xfId="0" applyFont="1" applyFill="1"/>
    <xf numFmtId="171" fontId="9" fillId="0" borderId="2" xfId="0" applyFont="1" applyFill="1" applyBorder="1"/>
    <xf numFmtId="171" fontId="67" fillId="33" borderId="0" xfId="0" applyFont="1" applyFill="1"/>
    <xf numFmtId="171" fontId="67" fillId="34" borderId="0" xfId="0" applyFont="1" applyFill="1"/>
    <xf numFmtId="171" fontId="9" fillId="0" borderId="90" xfId="0" applyFont="1" applyBorder="1"/>
    <xf numFmtId="171" fontId="67" fillId="0" borderId="92" xfId="0" applyFont="1" applyFill="1" applyBorder="1"/>
    <xf numFmtId="171" fontId="67" fillId="33" borderId="84" xfId="0" applyFont="1" applyFill="1" applyBorder="1"/>
    <xf numFmtId="171" fontId="9" fillId="0" borderId="21" xfId="0" applyFont="1" applyFill="1" applyBorder="1"/>
    <xf numFmtId="171" fontId="67" fillId="34" borderId="84" xfId="0" applyFont="1" applyFill="1" applyBorder="1"/>
    <xf numFmtId="171" fontId="67" fillId="0" borderId="84" xfId="0" applyFont="1" applyBorder="1"/>
    <xf numFmtId="171" fontId="67" fillId="9" borderId="58" xfId="0" applyFont="1" applyFill="1" applyBorder="1"/>
    <xf numFmtId="171" fontId="9" fillId="0" borderId="43" xfId="0" applyFont="1" applyFill="1" applyBorder="1"/>
    <xf numFmtId="171" fontId="29" fillId="0" borderId="0" xfId="0" applyFont="1" applyAlignment="1" applyProtection="1">
      <alignment horizontal="right"/>
    </xf>
    <xf numFmtId="0" fontId="43" fillId="0" borderId="2" xfId="0" applyNumberFormat="1" applyFont="1" applyBorder="1" applyAlignment="1">
      <alignment horizontal="center" vertical="center"/>
    </xf>
    <xf numFmtId="14" fontId="17" fillId="0" borderId="2" xfId="48" quotePrefix="1" applyNumberFormat="1" applyFont="1" applyBorder="1"/>
    <xf numFmtId="14" fontId="43" fillId="0" borderId="2" xfId="0" applyNumberFormat="1" applyFont="1" applyBorder="1"/>
    <xf numFmtId="9" fontId="67" fillId="0" borderId="2" xfId="9" applyFont="1" applyFill="1" applyBorder="1"/>
    <xf numFmtId="171" fontId="9" fillId="13" borderId="2" xfId="0" applyFont="1" applyFill="1" applyBorder="1"/>
    <xf numFmtId="171" fontId="9" fillId="0" borderId="37" xfId="0" applyFont="1" applyFill="1" applyBorder="1"/>
    <xf numFmtId="2" fontId="79" fillId="0" borderId="0" xfId="0" applyNumberFormat="1" applyFont="1" applyAlignment="1" applyProtection="1">
      <alignment vertical="center"/>
    </xf>
    <xf numFmtId="9" fontId="79" fillId="0" borderId="0" xfId="9" applyFont="1" applyAlignment="1" applyProtection="1">
      <alignment vertical="center"/>
    </xf>
    <xf numFmtId="167" fontId="79" fillId="2" borderId="0" xfId="3" applyNumberFormat="1" applyFont="1" applyFill="1" applyAlignment="1" applyProtection="1">
      <alignment horizontal="right" vertical="center"/>
    </xf>
    <xf numFmtId="167" fontId="79" fillId="2" borderId="0" xfId="3" applyNumberFormat="1" applyFont="1" applyFill="1" applyAlignment="1" applyProtection="1">
      <alignment horizontal="center" vertical="center"/>
    </xf>
    <xf numFmtId="10" fontId="79" fillId="2" borderId="0" xfId="9" applyNumberFormat="1" applyFont="1" applyFill="1" applyBorder="1" applyAlignment="1" applyProtection="1">
      <alignment vertical="center"/>
    </xf>
    <xf numFmtId="1" fontId="67" fillId="15" borderId="2" xfId="0" applyNumberFormat="1" applyFont="1" applyFill="1" applyBorder="1" applyAlignment="1">
      <alignment horizontal="center"/>
    </xf>
    <xf numFmtId="171" fontId="9" fillId="15" borderId="2" xfId="0" applyFont="1" applyFill="1" applyBorder="1" applyAlignment="1">
      <alignment horizontal="center"/>
    </xf>
    <xf numFmtId="0" fontId="9" fillId="0" borderId="2" xfId="0" applyNumberFormat="1" applyFont="1" applyBorder="1" applyAlignment="1">
      <alignment horizontal="left" wrapText="1"/>
    </xf>
    <xf numFmtId="0" fontId="85" fillId="0" borderId="2" xfId="0" applyNumberFormat="1" applyFont="1" applyBorder="1" applyAlignment="1">
      <alignment horizontal="left" wrapText="1"/>
    </xf>
    <xf numFmtId="0" fontId="87" fillId="0" borderId="2" xfId="0" applyNumberFormat="1" applyFont="1" applyBorder="1" applyAlignment="1">
      <alignment horizontal="left" wrapText="1"/>
    </xf>
    <xf numFmtId="0" fontId="87" fillId="0" borderId="2" xfId="103" applyNumberFormat="1" applyFont="1" applyBorder="1" applyAlignment="1">
      <alignment horizontal="left" wrapText="1"/>
    </xf>
    <xf numFmtId="0" fontId="87" fillId="0" borderId="2" xfId="0" applyNumberFormat="1" applyFont="1" applyFill="1" applyBorder="1" applyAlignment="1">
      <alignment horizontal="left" wrapText="1"/>
    </xf>
    <xf numFmtId="0" fontId="86" fillId="0" borderId="2" xfId="0" applyNumberFormat="1" applyFont="1" applyBorder="1" applyAlignment="1">
      <alignment horizontal="left" wrapText="1"/>
    </xf>
    <xf numFmtId="0" fontId="9" fillId="0" borderId="2" xfId="0" applyNumberFormat="1" applyFont="1" applyFill="1" applyBorder="1" applyAlignment="1">
      <alignment horizontal="left" wrapText="1"/>
    </xf>
    <xf numFmtId="0" fontId="9" fillId="0" borderId="8" xfId="0" applyNumberFormat="1" applyFont="1" applyBorder="1" applyAlignment="1">
      <alignment horizontal="left" wrapText="1"/>
    </xf>
    <xf numFmtId="0" fontId="9" fillId="0" borderId="3" xfId="0" applyNumberFormat="1" applyFont="1" applyBorder="1" applyAlignment="1">
      <alignment horizontal="left" wrapText="1"/>
    </xf>
    <xf numFmtId="0" fontId="86" fillId="0" borderId="0" xfId="0" applyNumberFormat="1" applyFont="1" applyAlignment="1">
      <alignment horizontal="left" wrapText="1"/>
    </xf>
    <xf numFmtId="0" fontId="13" fillId="0" borderId="2" xfId="0" applyNumberFormat="1" applyFont="1" applyBorder="1" applyAlignment="1">
      <alignment horizontal="left" wrapText="1"/>
    </xf>
    <xf numFmtId="0" fontId="9" fillId="0" borderId="2" xfId="103" applyNumberFormat="1" applyFont="1" applyBorder="1" applyAlignment="1">
      <alignment horizontal="left" wrapText="1"/>
    </xf>
    <xf numFmtId="0" fontId="0" fillId="0" borderId="2" xfId="0" applyNumberFormat="1" applyFont="1" applyBorder="1" applyAlignment="1">
      <alignment horizontal="left" wrapText="1"/>
    </xf>
    <xf numFmtId="0" fontId="0" fillId="0" borderId="2" xfId="0" applyNumberFormat="1" applyFont="1" applyFill="1" applyBorder="1" applyAlignment="1">
      <alignment horizontal="left" wrapText="1"/>
    </xf>
    <xf numFmtId="0" fontId="0" fillId="0" borderId="8" xfId="0" applyNumberFormat="1" applyFont="1" applyFill="1" applyBorder="1" applyAlignment="1">
      <alignment horizontal="left" wrapText="1"/>
    </xf>
    <xf numFmtId="0" fontId="9" fillId="0" borderId="0" xfId="0" applyNumberFormat="1" applyFont="1" applyBorder="1" applyAlignment="1">
      <alignment horizontal="left" wrapText="1"/>
    </xf>
    <xf numFmtId="0" fontId="13" fillId="0" borderId="2" xfId="0" applyNumberFormat="1" applyFont="1" applyBorder="1" applyAlignment="1">
      <alignment wrapText="1"/>
    </xf>
    <xf numFmtId="0" fontId="85" fillId="0" borderId="2" xfId="0" applyNumberFormat="1" applyFont="1" applyBorder="1" applyAlignment="1">
      <alignment wrapText="1"/>
    </xf>
    <xf numFmtId="0" fontId="9" fillId="0" borderId="3" xfId="0" applyNumberFormat="1" applyFont="1" applyFill="1" applyBorder="1" applyAlignment="1">
      <alignment horizontal="left" wrapText="1"/>
    </xf>
    <xf numFmtId="171" fontId="17" fillId="0" borderId="71" xfId="0" applyFont="1" applyBorder="1" applyAlignment="1" applyProtection="1">
      <alignment vertical="center" wrapText="1"/>
    </xf>
    <xf numFmtId="171" fontId="72" fillId="0" borderId="53" xfId="0" applyFont="1" applyBorder="1" applyAlignment="1" applyProtection="1">
      <alignment vertical="center" wrapText="1"/>
    </xf>
    <xf numFmtId="165" fontId="8" fillId="15" borderId="0" xfId="14" applyNumberFormat="1" applyFill="1"/>
    <xf numFmtId="171" fontId="8" fillId="15" borderId="0" xfId="16" applyNumberFormat="1" applyFont="1" applyFill="1"/>
    <xf numFmtId="171" fontId="94" fillId="0" borderId="0" xfId="0" applyFont="1" applyAlignment="1" applyProtection="1">
      <alignment horizontal="left" vertical="center" wrapText="1"/>
    </xf>
    <xf numFmtId="10" fontId="8" fillId="0" borderId="0" xfId="9" applyNumberFormat="1" applyFont="1" applyFill="1"/>
    <xf numFmtId="8" fontId="8" fillId="0" borderId="0" xfId="14" applyNumberFormat="1" applyFill="1"/>
    <xf numFmtId="171" fontId="0" fillId="35" borderId="0" xfId="0" applyFill="1"/>
    <xf numFmtId="0" fontId="9" fillId="0" borderId="91" xfId="0" applyNumberFormat="1" applyFont="1" applyBorder="1" applyAlignment="1">
      <alignment horizontal="left" wrapText="1"/>
    </xf>
    <xf numFmtId="0" fontId="9" fillId="0" borderId="92" xfId="0" applyNumberFormat="1" applyFont="1" applyBorder="1" applyAlignment="1">
      <alignment horizontal="left" wrapText="1"/>
    </xf>
    <xf numFmtId="0" fontId="9" fillId="0" borderId="21" xfId="0" applyNumberFormat="1" applyFont="1" applyBorder="1" applyAlignment="1">
      <alignment horizontal="left" wrapText="1"/>
    </xf>
    <xf numFmtId="0" fontId="9" fillId="0" borderId="0" xfId="0" applyNumberFormat="1" applyFont="1" applyFill="1" applyBorder="1" applyAlignment="1">
      <alignment horizontal="left" wrapText="1"/>
    </xf>
    <xf numFmtId="0" fontId="9" fillId="0" borderId="21" xfId="0" applyNumberFormat="1" applyFont="1" applyBorder="1" applyAlignment="1">
      <alignment horizontal="left"/>
    </xf>
    <xf numFmtId="0" fontId="9" fillId="0" borderId="5" xfId="0" applyNumberFormat="1" applyFont="1" applyBorder="1" applyAlignment="1">
      <alignment horizontal="left" wrapText="1"/>
    </xf>
    <xf numFmtId="0" fontId="9" fillId="0" borderId="43" xfId="0" applyNumberFormat="1" applyFont="1" applyBorder="1" applyAlignment="1">
      <alignment horizontal="left" wrapText="1"/>
    </xf>
    <xf numFmtId="49" fontId="89" fillId="0" borderId="0" xfId="0" applyNumberFormat="1" applyFont="1" applyFill="1" applyBorder="1" applyAlignment="1" applyProtection="1">
      <alignment vertical="top" wrapText="1"/>
      <protection locked="0"/>
    </xf>
    <xf numFmtId="171" fontId="23" fillId="0" borderId="0" xfId="0" applyFont="1" applyFill="1" applyAlignment="1" applyProtection="1">
      <alignment horizontal="right"/>
    </xf>
    <xf numFmtId="14" fontId="23" fillId="0" borderId="0" xfId="0" applyNumberFormat="1" applyFont="1" applyAlignment="1" applyProtection="1">
      <alignment horizontal="left"/>
    </xf>
    <xf numFmtId="171" fontId="17" fillId="5" borderId="0" xfId="0" applyFont="1" applyFill="1" applyAlignment="1" applyProtection="1"/>
    <xf numFmtId="171" fontId="17" fillId="0" borderId="0" xfId="0" applyFont="1" applyFill="1" applyAlignment="1" applyProtection="1"/>
    <xf numFmtId="171" fontId="30" fillId="0" borderId="0" xfId="0" applyFont="1" applyAlignment="1" applyProtection="1">
      <alignment horizontal="right"/>
    </xf>
    <xf numFmtId="14" fontId="23" fillId="0" borderId="0" xfId="0" applyNumberFormat="1" applyFont="1" applyAlignment="1" applyProtection="1">
      <alignment horizontal="left" vertical="center"/>
    </xf>
    <xf numFmtId="14" fontId="28" fillId="0" borderId="0" xfId="0" applyNumberFormat="1" applyFont="1" applyAlignment="1" applyProtection="1">
      <alignment horizontal="left"/>
    </xf>
    <xf numFmtId="49" fontId="23" fillId="0" borderId="0" xfId="0" applyNumberFormat="1" applyFont="1" applyAlignment="1" applyProtection="1">
      <alignment horizontal="left"/>
    </xf>
    <xf numFmtId="171" fontId="23" fillId="0" borderId="0" xfId="0" applyFont="1" applyAlignment="1" applyProtection="1">
      <alignment horizontal="right"/>
    </xf>
    <xf numFmtId="14" fontId="55" fillId="0" borderId="0" xfId="0" applyNumberFormat="1" applyFont="1" applyAlignment="1" applyProtection="1">
      <alignment horizontal="left"/>
    </xf>
    <xf numFmtId="171" fontId="30" fillId="0" borderId="0" xfId="0" applyFont="1" applyAlignment="1" applyProtection="1">
      <alignment horizontal="right" vertical="center"/>
    </xf>
    <xf numFmtId="14" fontId="30" fillId="0" borderId="0" xfId="0" applyNumberFormat="1" applyFont="1" applyAlignment="1" applyProtection="1">
      <alignment horizontal="left" vertical="center"/>
    </xf>
    <xf numFmtId="14" fontId="86" fillId="0" borderId="0" xfId="0" applyNumberFormat="1" applyFont="1" applyAlignment="1">
      <alignment horizontal="left"/>
    </xf>
    <xf numFmtId="14" fontId="9" fillId="0" borderId="90" xfId="0" applyNumberFormat="1" applyFont="1" applyBorder="1" applyAlignment="1">
      <alignment horizontal="left" wrapText="1"/>
    </xf>
    <xf numFmtId="14" fontId="86" fillId="0" borderId="84" xfId="0" applyNumberFormat="1" applyFont="1" applyBorder="1" applyAlignment="1">
      <alignment horizontal="left"/>
    </xf>
    <xf numFmtId="14" fontId="86" fillId="0" borderId="58" xfId="0" applyNumberFormat="1" applyFont="1" applyBorder="1" applyAlignment="1">
      <alignment horizontal="left"/>
    </xf>
    <xf numFmtId="0" fontId="9" fillId="0" borderId="21" xfId="0" applyNumberFormat="1" applyFont="1" applyFill="1" applyBorder="1" applyAlignment="1">
      <alignment horizontal="left" wrapText="1"/>
    </xf>
    <xf numFmtId="49" fontId="77" fillId="0" borderId="20" xfId="2" applyNumberFormat="1" applyFont="1" applyBorder="1" applyAlignment="1" applyProtection="1">
      <alignment horizontal="center" wrapText="1"/>
    </xf>
    <xf numFmtId="1" fontId="0" fillId="0" borderId="20" xfId="0" applyNumberFormat="1" applyBorder="1"/>
    <xf numFmtId="171" fontId="0" fillId="0" borderId="20" xfId="0" applyBorder="1"/>
    <xf numFmtId="171" fontId="78" fillId="0" borderId="4" xfId="135" applyNumberFormat="1" applyFont="1" applyBorder="1"/>
    <xf numFmtId="171" fontId="9" fillId="0" borderId="4" xfId="0" applyFont="1" applyBorder="1"/>
    <xf numFmtId="171" fontId="0" fillId="0" borderId="44" xfId="0" applyBorder="1"/>
    <xf numFmtId="171" fontId="0" fillId="0" borderId="4" xfId="0" applyBorder="1"/>
    <xf numFmtId="1" fontId="0" fillId="0" borderId="44" xfId="0" applyNumberFormat="1" applyBorder="1"/>
    <xf numFmtId="1" fontId="0" fillId="0" borderId="4" xfId="0" applyNumberFormat="1" applyBorder="1"/>
    <xf numFmtId="171" fontId="85" fillId="0" borderId="2" xfId="0" applyFont="1" applyBorder="1" applyAlignment="1">
      <alignment horizontal="left"/>
    </xf>
    <xf numFmtId="171" fontId="86" fillId="0" borderId="0" xfId="0" applyFont="1" applyAlignment="1"/>
    <xf numFmtId="0" fontId="86" fillId="0" borderId="2" xfId="0" applyNumberFormat="1" applyFont="1" applyBorder="1" applyAlignment="1">
      <alignment horizontal="left"/>
    </xf>
    <xf numFmtId="14" fontId="86" fillId="0" borderId="2" xfId="0" applyNumberFormat="1" applyFont="1" applyBorder="1" applyAlignment="1">
      <alignment horizontal="left"/>
    </xf>
    <xf numFmtId="171" fontId="9" fillId="0" borderId="0" xfId="0" applyFont="1" applyAlignment="1"/>
    <xf numFmtId="0" fontId="86" fillId="0" borderId="8" xfId="0" applyNumberFormat="1" applyFont="1" applyBorder="1" applyAlignment="1">
      <alignment horizontal="left"/>
    </xf>
    <xf numFmtId="14" fontId="86" fillId="0" borderId="3" xfId="0" applyNumberFormat="1" applyFont="1" applyBorder="1" applyAlignment="1">
      <alignment horizontal="left"/>
    </xf>
    <xf numFmtId="171" fontId="86" fillId="0" borderId="2" xfId="0" applyFont="1" applyBorder="1" applyAlignment="1">
      <alignment horizontal="left"/>
    </xf>
    <xf numFmtId="14" fontId="9" fillId="0" borderId="2" xfId="0" applyNumberFormat="1" applyFont="1" applyBorder="1" applyAlignment="1">
      <alignment horizontal="left"/>
    </xf>
    <xf numFmtId="14" fontId="9" fillId="0" borderId="8" xfId="0" applyNumberFormat="1" applyFont="1" applyBorder="1" applyAlignment="1">
      <alignment horizontal="left"/>
    </xf>
    <xf numFmtId="14" fontId="9" fillId="0" borderId="3" xfId="0" quotePrefix="1" applyNumberFormat="1" applyFont="1" applyBorder="1" applyAlignment="1">
      <alignment horizontal="left"/>
    </xf>
    <xf numFmtId="14" fontId="9" fillId="0" borderId="2" xfId="0" quotePrefix="1" applyNumberFormat="1" applyFont="1" applyBorder="1" applyAlignment="1">
      <alignment horizontal="left"/>
    </xf>
    <xf numFmtId="14" fontId="9" fillId="0" borderId="10" xfId="0" applyNumberFormat="1" applyFont="1" applyBorder="1" applyAlignment="1">
      <alignment horizontal="left"/>
    </xf>
    <xf numFmtId="14" fontId="86" fillId="0" borderId="8" xfId="0" applyNumberFormat="1" applyFont="1" applyBorder="1" applyAlignment="1">
      <alignment horizontal="left"/>
    </xf>
    <xf numFmtId="49" fontId="9" fillId="0" borderId="2" xfId="0" quotePrefix="1" applyNumberFormat="1" applyFont="1" applyBorder="1" applyAlignment="1"/>
    <xf numFmtId="49" fontId="9" fillId="0" borderId="2" xfId="0" applyNumberFormat="1" applyFont="1" applyBorder="1" applyAlignment="1">
      <alignment wrapText="1"/>
    </xf>
    <xf numFmtId="0" fontId="9" fillId="0" borderId="2" xfId="0" applyNumberFormat="1" applyFont="1" applyBorder="1" applyAlignment="1">
      <alignment wrapText="1"/>
    </xf>
    <xf numFmtId="14" fontId="9" fillId="0" borderId="0" xfId="0" applyNumberFormat="1" applyFont="1" applyAlignment="1">
      <alignment horizontal="left"/>
    </xf>
    <xf numFmtId="171" fontId="86" fillId="0" borderId="0" xfId="0" applyFont="1" applyAlignment="1">
      <alignment horizontal="left"/>
    </xf>
    <xf numFmtId="0" fontId="77" fillId="0" borderId="20" xfId="2" applyNumberFormat="1" applyFont="1" applyBorder="1" applyAlignment="1" applyProtection="1">
      <alignment horizontal="center" wrapText="1"/>
    </xf>
    <xf numFmtId="0" fontId="77" fillId="0" borderId="0" xfId="2" applyNumberFormat="1" applyFont="1" applyAlignment="1" applyProtection="1">
      <alignment horizontal="center" wrapText="1"/>
    </xf>
    <xf numFmtId="0" fontId="0" fillId="0" borderId="20" xfId="0" applyNumberFormat="1" applyBorder="1"/>
    <xf numFmtId="0" fontId="0" fillId="0" borderId="0" xfId="0" applyNumberFormat="1"/>
    <xf numFmtId="0" fontId="0" fillId="0" borderId="44" xfId="0" applyNumberFormat="1" applyBorder="1"/>
    <xf numFmtId="0" fontId="0" fillId="0" borderId="4" xfId="0" applyNumberFormat="1" applyBorder="1"/>
    <xf numFmtId="0" fontId="9" fillId="0" borderId="91" xfId="0" applyNumberFormat="1" applyFont="1" applyFill="1" applyBorder="1" applyAlignment="1">
      <alignment horizontal="left" wrapText="1"/>
    </xf>
    <xf numFmtId="14" fontId="9" fillId="0" borderId="84" xfId="0" applyNumberFormat="1" applyFont="1" applyBorder="1" applyAlignment="1">
      <alignment horizontal="left"/>
    </xf>
    <xf numFmtId="14" fontId="9" fillId="0" borderId="58" xfId="0" applyNumberFormat="1" applyFont="1" applyBorder="1" applyAlignment="1">
      <alignment horizontal="left"/>
    </xf>
    <xf numFmtId="171" fontId="23" fillId="0" borderId="2" xfId="0" applyFont="1" applyBorder="1" applyAlignment="1">
      <alignment horizontal="center"/>
    </xf>
    <xf numFmtId="168" fontId="17" fillId="0" borderId="2" xfId="1" applyNumberFormat="1" applyFont="1" applyFill="1" applyBorder="1" applyAlignment="1" applyProtection="1">
      <alignment horizontal="right" wrapText="1" indent="1"/>
    </xf>
    <xf numFmtId="171" fontId="96" fillId="0" borderId="86" xfId="0" applyFont="1" applyBorder="1" applyAlignment="1" applyProtection="1">
      <alignment horizontal="center"/>
    </xf>
    <xf numFmtId="171" fontId="96" fillId="0" borderId="76" xfId="0" applyFont="1" applyBorder="1" applyAlignment="1" applyProtection="1">
      <alignment horizontal="center"/>
    </xf>
    <xf numFmtId="171" fontId="96" fillId="0" borderId="81" xfId="0" applyFont="1" applyBorder="1" applyAlignment="1" applyProtection="1">
      <alignment horizontal="center"/>
    </xf>
    <xf numFmtId="168" fontId="24" fillId="0" borderId="0" xfId="1" applyNumberFormat="1" applyFont="1" applyFill="1" applyBorder="1" applyAlignment="1" applyProtection="1">
      <alignment horizontal="right"/>
    </xf>
    <xf numFmtId="168" fontId="24" fillId="0" borderId="21" xfId="1" applyNumberFormat="1" applyFont="1" applyFill="1" applyBorder="1" applyAlignment="1" applyProtection="1">
      <alignment horizontal="right"/>
    </xf>
    <xf numFmtId="168" fontId="52" fillId="0" borderId="0" xfId="1" applyNumberFormat="1" applyFont="1" applyFill="1" applyBorder="1" applyAlignment="1" applyProtection="1">
      <alignment horizontal="right"/>
    </xf>
    <xf numFmtId="168" fontId="52" fillId="0" borderId="21" xfId="1" applyNumberFormat="1" applyFont="1" applyFill="1" applyBorder="1" applyAlignment="1" applyProtection="1">
      <alignment horizontal="right"/>
    </xf>
    <xf numFmtId="171" fontId="89" fillId="0" borderId="0" xfId="0" applyFont="1" applyAlignment="1" applyProtection="1">
      <alignment horizontal="left" vertical="center" wrapText="1"/>
    </xf>
    <xf numFmtId="171" fontId="89" fillId="0" borderId="0" xfId="0" applyFont="1" applyAlignment="1" applyProtection="1">
      <alignment horizontal="left" vertical="center"/>
    </xf>
    <xf numFmtId="171" fontId="92" fillId="0" borderId="0" xfId="0" applyFont="1" applyAlignment="1" applyProtection="1">
      <alignment horizontal="left" vertical="center" wrapText="1"/>
    </xf>
    <xf numFmtId="49" fontId="89" fillId="4" borderId="90" xfId="0" applyNumberFormat="1" applyFont="1" applyFill="1" applyBorder="1" applyAlignment="1" applyProtection="1">
      <alignment horizontal="left" vertical="top" wrapText="1"/>
      <protection locked="0"/>
    </xf>
    <xf numFmtId="49" fontId="89" fillId="4" borderId="91" xfId="0" applyNumberFormat="1" applyFont="1" applyFill="1" applyBorder="1" applyAlignment="1" applyProtection="1">
      <alignment horizontal="left" vertical="top" wrapText="1"/>
      <protection locked="0"/>
    </xf>
    <xf numFmtId="49" fontId="89" fillId="4" borderId="92" xfId="0" applyNumberFormat="1" applyFont="1" applyFill="1" applyBorder="1" applyAlignment="1" applyProtection="1">
      <alignment horizontal="left" vertical="top" wrapText="1"/>
      <protection locked="0"/>
    </xf>
    <xf numFmtId="49" fontId="89" fillId="4" borderId="84" xfId="0" applyNumberFormat="1" applyFont="1" applyFill="1" applyBorder="1" applyAlignment="1" applyProtection="1">
      <alignment horizontal="left" vertical="top" wrapText="1"/>
      <protection locked="0"/>
    </xf>
    <xf numFmtId="49" fontId="89" fillId="4" borderId="0" xfId="0" applyNumberFormat="1" applyFont="1" applyFill="1" applyBorder="1" applyAlignment="1" applyProtection="1">
      <alignment horizontal="left" vertical="top" wrapText="1"/>
      <protection locked="0"/>
    </xf>
    <xf numFmtId="49" fontId="89" fillId="4" borderId="21" xfId="0" applyNumberFormat="1" applyFont="1" applyFill="1" applyBorder="1" applyAlignment="1" applyProtection="1">
      <alignment horizontal="left" vertical="top" wrapText="1"/>
      <protection locked="0"/>
    </xf>
    <xf numFmtId="49" fontId="89" fillId="4" borderId="58" xfId="0" applyNumberFormat="1" applyFont="1" applyFill="1" applyBorder="1" applyAlignment="1" applyProtection="1">
      <alignment horizontal="left" vertical="top" wrapText="1"/>
      <protection locked="0"/>
    </xf>
    <xf numFmtId="49" fontId="89" fillId="4" borderId="5" xfId="0" applyNumberFormat="1" applyFont="1" applyFill="1" applyBorder="1" applyAlignment="1" applyProtection="1">
      <alignment horizontal="left" vertical="top" wrapText="1"/>
      <protection locked="0"/>
    </xf>
    <xf numFmtId="49" fontId="89" fillId="4" borderId="43" xfId="0" applyNumberFormat="1" applyFont="1" applyFill="1" applyBorder="1" applyAlignment="1" applyProtection="1">
      <alignment horizontal="left" vertical="top" wrapText="1"/>
      <protection locked="0"/>
    </xf>
    <xf numFmtId="171" fontId="94" fillId="0" borderId="0" xfId="0" applyFont="1" applyAlignment="1" applyProtection="1">
      <alignment horizontal="center" vertical="center" wrapText="1"/>
    </xf>
    <xf numFmtId="171" fontId="94" fillId="0" borderId="0" xfId="0" applyFont="1" applyAlignment="1" applyProtection="1">
      <alignment horizontal="left" vertical="center" wrapText="1"/>
    </xf>
    <xf numFmtId="171" fontId="94" fillId="0" borderId="0" xfId="0" applyFont="1" applyBorder="1" applyAlignment="1" applyProtection="1">
      <alignment horizontal="left" vertical="center" wrapText="1"/>
    </xf>
    <xf numFmtId="49" fontId="92" fillId="0" borderId="0" xfId="0" applyNumberFormat="1" applyFont="1" applyAlignment="1" applyProtection="1">
      <alignment horizontal="left" vertical="center" wrapText="1"/>
    </xf>
    <xf numFmtId="49" fontId="93" fillId="4" borderId="25" xfId="0" applyNumberFormat="1" applyFont="1" applyFill="1" applyBorder="1" applyAlignment="1" applyProtection="1">
      <alignment horizontal="center" vertical="center"/>
      <protection locked="0"/>
    </xf>
    <xf numFmtId="171" fontId="94" fillId="0" borderId="21" xfId="0" applyFont="1" applyBorder="1" applyAlignment="1" applyProtection="1">
      <alignment horizontal="center" vertical="center" wrapText="1"/>
    </xf>
    <xf numFmtId="171" fontId="88" fillId="0" borderId="0" xfId="0" applyFont="1" applyFill="1" applyAlignment="1" applyProtection="1">
      <alignment horizontal="center"/>
    </xf>
    <xf numFmtId="171" fontId="93" fillId="0" borderId="25" xfId="0" applyNumberFormat="1" applyFont="1" applyFill="1" applyBorder="1" applyAlignment="1" applyProtection="1">
      <alignment horizontal="center" vertical="center"/>
    </xf>
    <xf numFmtId="49" fontId="17" fillId="4" borderId="4" xfId="0" applyNumberFormat="1" applyFont="1" applyFill="1" applyBorder="1" applyAlignment="1" applyProtection="1">
      <alignment horizontal="center" vertical="center"/>
      <protection locked="0"/>
    </xf>
    <xf numFmtId="49" fontId="89" fillId="4" borderId="4" xfId="0" applyNumberFormat="1" applyFont="1" applyFill="1" applyBorder="1" applyAlignment="1" applyProtection="1">
      <alignment horizontal="center" vertical="center"/>
      <protection locked="0"/>
    </xf>
    <xf numFmtId="171" fontId="94" fillId="0" borderId="0" xfId="0" applyFont="1" applyAlignment="1" applyProtection="1">
      <alignment horizontal="left" vertical="center" wrapText="1" indent="1"/>
    </xf>
    <xf numFmtId="1" fontId="29" fillId="0" borderId="23" xfId="0" applyNumberFormat="1" applyFont="1" applyBorder="1" applyAlignment="1" applyProtection="1">
      <alignment horizontal="center"/>
    </xf>
    <xf numFmtId="1" fontId="29" fillId="0" borderId="68" xfId="0" applyNumberFormat="1" applyFont="1" applyBorder="1" applyAlignment="1" applyProtection="1">
      <alignment horizontal="center"/>
    </xf>
    <xf numFmtId="171" fontId="29" fillId="0" borderId="48" xfId="0" applyFont="1" applyFill="1" applyBorder="1" applyAlignment="1" applyProtection="1">
      <alignment horizontal="center"/>
    </xf>
    <xf numFmtId="171" fontId="29" fillId="0" borderId="48" xfId="0" applyFont="1" applyBorder="1" applyAlignment="1" applyProtection="1">
      <alignment horizontal="center"/>
    </xf>
    <xf numFmtId="171" fontId="29" fillId="0" borderId="22" xfId="0" applyFont="1" applyBorder="1" applyAlignment="1" applyProtection="1">
      <alignment horizontal="center"/>
    </xf>
    <xf numFmtId="171" fontId="29" fillId="0" borderId="67" xfId="0" applyFont="1" applyFill="1" applyBorder="1" applyAlignment="1" applyProtection="1">
      <alignment horizontal="center"/>
    </xf>
    <xf numFmtId="171" fontId="23" fillId="0" borderId="69" xfId="0" applyFont="1" applyBorder="1" applyAlignment="1" applyProtection="1">
      <alignment horizontal="center"/>
    </xf>
    <xf numFmtId="171" fontId="23" fillId="0" borderId="38" xfId="0" applyFont="1" applyBorder="1" applyAlignment="1" applyProtection="1">
      <alignment horizontal="center"/>
    </xf>
    <xf numFmtId="171" fontId="23" fillId="0" borderId="70" xfId="0" applyFont="1" applyBorder="1" applyAlignment="1" applyProtection="1">
      <alignment horizontal="center"/>
    </xf>
    <xf numFmtId="171" fontId="23" fillId="0" borderId="40" xfId="0" applyFont="1" applyBorder="1" applyAlignment="1" applyProtection="1">
      <alignment horizontal="center"/>
    </xf>
    <xf numFmtId="171" fontId="29" fillId="0" borderId="48" xfId="0" applyFont="1" applyBorder="1" applyAlignment="1" applyProtection="1">
      <alignment horizontal="center"/>
      <protection hidden="1"/>
    </xf>
    <xf numFmtId="171" fontId="29" fillId="0" borderId="67" xfId="0" applyFont="1" applyBorder="1" applyAlignment="1" applyProtection="1">
      <alignment horizontal="center"/>
      <protection hidden="1"/>
    </xf>
    <xf numFmtId="171" fontId="36" fillId="0" borderId="55" xfId="0" applyFont="1" applyBorder="1" applyAlignment="1" applyProtection="1">
      <alignment horizontal="center" vertical="center" wrapText="1"/>
    </xf>
    <xf numFmtId="171" fontId="36" fillId="0" borderId="56" xfId="0" applyFont="1" applyBorder="1" applyAlignment="1" applyProtection="1">
      <alignment horizontal="center" vertical="center" wrapText="1"/>
    </xf>
    <xf numFmtId="171" fontId="36" fillId="0" borderId="57" xfId="0" applyFont="1" applyBorder="1" applyAlignment="1" applyProtection="1">
      <alignment horizontal="center" vertical="center" wrapText="1"/>
    </xf>
    <xf numFmtId="171" fontId="36" fillId="0" borderId="1" xfId="0" applyFont="1" applyBorder="1" applyAlignment="1" applyProtection="1">
      <alignment horizontal="center" vertical="center" wrapText="1"/>
    </xf>
    <xf numFmtId="171" fontId="36" fillId="0" borderId="58" xfId="0" applyFont="1" applyBorder="1" applyAlignment="1" applyProtection="1">
      <alignment horizontal="center" vertical="center" wrapText="1"/>
    </xf>
    <xf numFmtId="171" fontId="36" fillId="0" borderId="59" xfId="0" applyFont="1" applyBorder="1" applyAlignment="1" applyProtection="1">
      <alignment horizontal="center" vertical="center" wrapText="1"/>
    </xf>
    <xf numFmtId="171" fontId="29" fillId="0" borderId="22" xfId="0" applyFont="1" applyFill="1" applyBorder="1" applyAlignment="1" applyProtection="1">
      <alignment horizontal="center"/>
    </xf>
    <xf numFmtId="1" fontId="28" fillId="0" borderId="38" xfId="0" applyNumberFormat="1" applyFont="1" applyBorder="1" applyAlignment="1" applyProtection="1">
      <alignment horizontal="center"/>
    </xf>
    <xf numFmtId="1" fontId="28" fillId="0" borderId="40" xfId="0" applyNumberFormat="1" applyFont="1" applyBorder="1" applyAlignment="1" applyProtection="1">
      <alignment horizontal="center"/>
    </xf>
    <xf numFmtId="171" fontId="28" fillId="0" borderId="69" xfId="0" applyFont="1" applyFill="1" applyBorder="1" applyAlignment="1" applyProtection="1">
      <alignment horizontal="center"/>
    </xf>
    <xf numFmtId="171" fontId="28" fillId="0" borderId="70" xfId="0" applyFont="1" applyFill="1" applyBorder="1" applyAlignment="1" applyProtection="1">
      <alignment horizontal="center"/>
    </xf>
    <xf numFmtId="171" fontId="23" fillId="0" borderId="0" xfId="0" applyFont="1" applyAlignment="1" applyProtection="1">
      <alignment horizontal="center"/>
    </xf>
    <xf numFmtId="165" fontId="32" fillId="0" borderId="28" xfId="0" applyNumberFormat="1" applyFont="1" applyBorder="1" applyAlignment="1">
      <alignment horizontal="center"/>
    </xf>
    <xf numFmtId="165" fontId="32" fillId="0" borderId="46" xfId="0" applyNumberFormat="1" applyFont="1" applyBorder="1" applyAlignment="1">
      <alignment horizontal="center"/>
    </xf>
    <xf numFmtId="165" fontId="32" fillId="0" borderId="32" xfId="0" applyNumberFormat="1" applyFont="1" applyBorder="1" applyAlignment="1">
      <alignment horizontal="center"/>
    </xf>
    <xf numFmtId="171" fontId="17" fillId="13" borderId="28" xfId="0" applyFont="1" applyFill="1" applyBorder="1" applyAlignment="1" applyProtection="1">
      <alignment horizontal="center"/>
    </xf>
    <xf numFmtId="171" fontId="17" fillId="13" borderId="46" xfId="0" applyFont="1" applyFill="1" applyBorder="1" applyAlignment="1" applyProtection="1">
      <alignment horizontal="center"/>
    </xf>
    <xf numFmtId="171" fontId="17" fillId="13" borderId="32" xfId="0" applyFont="1" applyFill="1" applyBorder="1" applyAlignment="1" applyProtection="1">
      <alignment horizontal="center"/>
    </xf>
    <xf numFmtId="1" fontId="29" fillId="0" borderId="66" xfId="0" applyNumberFormat="1" applyFont="1" applyBorder="1" applyAlignment="1" applyProtection="1">
      <alignment horizontal="center"/>
    </xf>
    <xf numFmtId="49" fontId="17" fillId="0" borderId="0" xfId="0" applyNumberFormat="1" applyFont="1" applyAlignment="1" applyProtection="1">
      <alignment horizontal="left" wrapText="1"/>
    </xf>
    <xf numFmtId="171" fontId="35" fillId="0" borderId="18" xfId="0" applyFont="1" applyBorder="1" applyAlignment="1" applyProtection="1">
      <alignment horizontal="center" vertical="center"/>
    </xf>
    <xf numFmtId="171" fontId="27" fillId="0" borderId="0" xfId="0" applyFont="1" applyFill="1" applyAlignment="1">
      <alignment vertical="center"/>
    </xf>
    <xf numFmtId="171" fontId="34" fillId="0" borderId="44" xfId="0" applyFont="1" applyBorder="1" applyAlignment="1" applyProtection="1">
      <alignment horizontal="center" vertical="center"/>
    </xf>
    <xf numFmtId="171" fontId="34" fillId="0" borderId="4" xfId="0" applyFont="1" applyBorder="1" applyAlignment="1" applyProtection="1">
      <alignment horizontal="center" vertical="center"/>
    </xf>
    <xf numFmtId="171" fontId="34" fillId="0" borderId="74" xfId="0" applyFont="1" applyBorder="1" applyAlignment="1" applyProtection="1">
      <alignment horizontal="center" vertical="center"/>
    </xf>
    <xf numFmtId="171" fontId="17" fillId="0" borderId="58" xfId="0" applyFont="1" applyBorder="1" applyAlignment="1" applyProtection="1">
      <alignment horizontal="left"/>
    </xf>
    <xf numFmtId="171" fontId="17" fillId="0" borderId="5" xfId="0" applyFont="1" applyBorder="1" applyAlignment="1" applyProtection="1">
      <alignment horizontal="left"/>
    </xf>
    <xf numFmtId="49" fontId="17" fillId="4" borderId="55" xfId="3" applyNumberFormat="1" applyFont="1" applyFill="1" applyBorder="1" applyAlignment="1" applyProtection="1">
      <alignment horizontal="left" vertical="top" wrapText="1"/>
      <protection locked="0"/>
    </xf>
    <xf numFmtId="49" fontId="17" fillId="4" borderId="18" xfId="3" applyNumberFormat="1" applyFont="1" applyFill="1" applyBorder="1" applyAlignment="1" applyProtection="1">
      <alignment horizontal="left" vertical="top" wrapText="1"/>
      <protection locked="0"/>
    </xf>
    <xf numFmtId="49" fontId="17" fillId="4" borderId="19" xfId="3" applyNumberFormat="1" applyFont="1" applyFill="1" applyBorder="1" applyAlignment="1" applyProtection="1">
      <alignment horizontal="left" vertical="top" wrapText="1"/>
      <protection locked="0"/>
    </xf>
    <xf numFmtId="49" fontId="17" fillId="4" borderId="57" xfId="3" applyNumberFormat="1" applyFont="1" applyFill="1" applyBorder="1" applyAlignment="1" applyProtection="1">
      <alignment horizontal="left" vertical="top" wrapText="1"/>
      <protection locked="0"/>
    </xf>
    <xf numFmtId="49" fontId="17" fillId="4" borderId="0" xfId="3" applyNumberFormat="1" applyFont="1" applyFill="1" applyBorder="1" applyAlignment="1" applyProtection="1">
      <alignment horizontal="left" vertical="top" wrapText="1"/>
      <protection locked="0"/>
    </xf>
    <xf numFmtId="49" fontId="17" fillId="4" borderId="21" xfId="3" applyNumberFormat="1" applyFont="1" applyFill="1" applyBorder="1" applyAlignment="1" applyProtection="1">
      <alignment horizontal="left" vertical="top" wrapText="1"/>
      <protection locked="0"/>
    </xf>
    <xf numFmtId="49" fontId="17" fillId="4" borderId="58" xfId="3" applyNumberFormat="1" applyFont="1" applyFill="1" applyBorder="1" applyAlignment="1" applyProtection="1">
      <alignment horizontal="left" vertical="top" wrapText="1"/>
      <protection locked="0"/>
    </xf>
    <xf numFmtId="49" fontId="17" fillId="4" borderId="5" xfId="3" applyNumberFormat="1" applyFont="1" applyFill="1" applyBorder="1" applyAlignment="1" applyProtection="1">
      <alignment horizontal="left" vertical="top" wrapText="1"/>
      <protection locked="0"/>
    </xf>
    <xf numFmtId="49" fontId="17" fillId="4" borderId="43" xfId="3" applyNumberFormat="1" applyFont="1" applyFill="1" applyBorder="1" applyAlignment="1" applyProtection="1">
      <alignment horizontal="left" vertical="top" wrapText="1"/>
      <protection locked="0"/>
    </xf>
    <xf numFmtId="171" fontId="17" fillId="0" borderId="0" xfId="0" applyFont="1" applyBorder="1" applyAlignment="1" applyProtection="1">
      <alignment horizontal="left"/>
    </xf>
    <xf numFmtId="171" fontId="17" fillId="0" borderId="64" xfId="0" applyFont="1" applyFill="1" applyBorder="1" applyAlignment="1" applyProtection="1">
      <alignment horizontal="left"/>
    </xf>
    <xf numFmtId="171" fontId="17" fillId="0" borderId="34" xfId="0" applyFont="1" applyFill="1" applyBorder="1" applyAlignment="1" applyProtection="1">
      <alignment horizontal="left"/>
    </xf>
    <xf numFmtId="171" fontId="17" fillId="0" borderId="85" xfId="0" applyFont="1" applyBorder="1" applyAlignment="1" applyProtection="1">
      <alignment horizontal="left"/>
    </xf>
    <xf numFmtId="171" fontId="17" fillId="0" borderId="80" xfId="0" applyFont="1" applyBorder="1" applyAlignment="1" applyProtection="1">
      <alignment horizontal="left"/>
    </xf>
    <xf numFmtId="171" fontId="17" fillId="0" borderId="24" xfId="0" applyFont="1" applyBorder="1" applyAlignment="1" applyProtection="1">
      <alignment horizontal="left" vertical="top"/>
    </xf>
    <xf numFmtId="171" fontId="17" fillId="0" borderId="35" xfId="0" applyFont="1" applyBorder="1" applyAlignment="1" applyProtection="1">
      <alignment horizontal="left" vertical="top"/>
    </xf>
    <xf numFmtId="171" fontId="32" fillId="0" borderId="28" xfId="0" applyFont="1" applyBorder="1" applyAlignment="1" applyProtection="1">
      <alignment horizontal="left"/>
    </xf>
    <xf numFmtId="171" fontId="32" fillId="0" borderId="46" xfId="0" applyFont="1" applyBorder="1" applyAlignment="1" applyProtection="1">
      <alignment horizontal="left"/>
    </xf>
    <xf numFmtId="171" fontId="32" fillId="0" borderId="43" xfId="0" applyFont="1" applyBorder="1" applyAlignment="1" applyProtection="1">
      <alignment horizontal="left"/>
    </xf>
    <xf numFmtId="171" fontId="36" fillId="0" borderId="84" xfId="0" applyFont="1" applyBorder="1" applyAlignment="1" applyProtection="1">
      <alignment horizontal="center" vertical="center" wrapText="1"/>
    </xf>
    <xf numFmtId="171" fontId="28" fillId="0" borderId="69" xfId="0" applyFont="1" applyBorder="1" applyAlignment="1" applyProtection="1">
      <alignment horizontal="center"/>
      <protection hidden="1"/>
    </xf>
    <xf numFmtId="171" fontId="28" fillId="0" borderId="70" xfId="0" applyFont="1" applyBorder="1" applyAlignment="1" applyProtection="1">
      <alignment horizontal="center"/>
      <protection hidden="1"/>
    </xf>
    <xf numFmtId="171" fontId="72" fillId="0" borderId="10" xfId="0" applyFont="1" applyFill="1" applyBorder="1" applyAlignment="1" applyProtection="1">
      <alignment horizontal="left"/>
    </xf>
    <xf numFmtId="171" fontId="72" fillId="0" borderId="14" xfId="0" applyFont="1" applyFill="1" applyBorder="1" applyAlignment="1" applyProtection="1">
      <alignment horizontal="left"/>
    </xf>
    <xf numFmtId="171" fontId="73" fillId="0" borderId="28" xfId="0" applyFont="1" applyFill="1" applyBorder="1" applyAlignment="1" applyProtection="1">
      <alignment horizontal="left"/>
    </xf>
    <xf numFmtId="171" fontId="73" fillId="0" borderId="33" xfId="0" applyFont="1" applyFill="1" applyBorder="1" applyAlignment="1" applyProtection="1">
      <alignment horizontal="left"/>
    </xf>
    <xf numFmtId="171" fontId="17" fillId="0" borderId="10" xfId="0" applyFont="1" applyBorder="1" applyAlignment="1">
      <alignment horizontal="left"/>
    </xf>
    <xf numFmtId="171" fontId="17" fillId="0" borderId="14" xfId="0" applyFont="1" applyBorder="1" applyAlignment="1">
      <alignment horizontal="left"/>
    </xf>
    <xf numFmtId="171" fontId="73" fillId="0" borderId="32" xfId="0" applyFont="1" applyFill="1" applyBorder="1" applyAlignment="1" applyProtection="1">
      <alignment horizontal="left"/>
    </xf>
    <xf numFmtId="171" fontId="72" fillId="0" borderId="14" xfId="0" applyFont="1" applyBorder="1" applyAlignment="1">
      <alignment horizontal="left"/>
    </xf>
    <xf numFmtId="3" fontId="72" fillId="0" borderId="12" xfId="3" applyNumberFormat="1" applyFont="1" applyFill="1" applyBorder="1" applyAlignment="1" applyProtection="1">
      <alignment horizontal="left"/>
    </xf>
    <xf numFmtId="3" fontId="72" fillId="0" borderId="61" xfId="3" applyNumberFormat="1" applyFont="1" applyFill="1" applyBorder="1" applyAlignment="1" applyProtection="1">
      <alignment horizontal="left"/>
    </xf>
    <xf numFmtId="171" fontId="71" fillId="0" borderId="0" xfId="0" applyFont="1" applyAlignment="1" applyProtection="1">
      <alignment horizontal="center"/>
    </xf>
    <xf numFmtId="49" fontId="17" fillId="4" borderId="83" xfId="3" applyNumberFormat="1" applyFont="1" applyFill="1" applyBorder="1" applyAlignment="1" applyProtection="1">
      <alignment horizontal="left" vertical="top" wrapText="1"/>
      <protection locked="0"/>
    </xf>
    <xf numFmtId="49" fontId="72" fillId="4" borderId="78" xfId="3" applyNumberFormat="1" applyFont="1" applyFill="1" applyBorder="1" applyAlignment="1" applyProtection="1">
      <alignment horizontal="left" vertical="top" wrapText="1"/>
      <protection locked="0"/>
    </xf>
    <xf numFmtId="49" fontId="72" fillId="4" borderId="79" xfId="3" applyNumberFormat="1" applyFont="1" applyFill="1" applyBorder="1" applyAlignment="1" applyProtection="1">
      <alignment horizontal="left" vertical="top" wrapText="1"/>
      <protection locked="0"/>
    </xf>
    <xf numFmtId="49" fontId="72" fillId="4" borderId="84" xfId="3" applyNumberFormat="1" applyFont="1" applyFill="1" applyBorder="1" applyAlignment="1" applyProtection="1">
      <alignment horizontal="left" vertical="top" wrapText="1"/>
      <protection locked="0"/>
    </xf>
    <xf numFmtId="49" fontId="72" fillId="4" borderId="0" xfId="3" applyNumberFormat="1" applyFont="1" applyFill="1" applyBorder="1" applyAlignment="1" applyProtection="1">
      <alignment horizontal="left" vertical="top" wrapText="1"/>
      <protection locked="0"/>
    </xf>
    <xf numFmtId="49" fontId="72" fillId="4" borderId="21" xfId="3" applyNumberFormat="1" applyFont="1" applyFill="1" applyBorder="1" applyAlignment="1" applyProtection="1">
      <alignment horizontal="left" vertical="top" wrapText="1"/>
      <protection locked="0"/>
    </xf>
    <xf numFmtId="49" fontId="72" fillId="4" borderId="58" xfId="3" applyNumberFormat="1" applyFont="1" applyFill="1" applyBorder="1" applyAlignment="1" applyProtection="1">
      <alignment horizontal="left" vertical="top" wrapText="1"/>
      <protection locked="0"/>
    </xf>
    <xf numFmtId="49" fontId="72" fillId="4" borderId="5" xfId="3" applyNumberFormat="1" applyFont="1" applyFill="1" applyBorder="1" applyAlignment="1" applyProtection="1">
      <alignment horizontal="left" vertical="top" wrapText="1"/>
      <protection locked="0"/>
    </xf>
    <xf numFmtId="49" fontId="72" fillId="4" borderId="43" xfId="3" applyNumberFormat="1" applyFont="1" applyFill="1" applyBorder="1" applyAlignment="1" applyProtection="1">
      <alignment horizontal="left" vertical="top" wrapText="1"/>
      <protection locked="0"/>
    </xf>
    <xf numFmtId="171" fontId="73" fillId="0" borderId="4" xfId="0" applyFont="1" applyFill="1" applyBorder="1" applyAlignment="1" applyProtection="1">
      <alignment horizontal="left"/>
    </xf>
    <xf numFmtId="171" fontId="17" fillId="0" borderId="90" xfId="0" applyFont="1" applyBorder="1" applyAlignment="1" applyProtection="1">
      <alignment horizontal="center"/>
    </xf>
    <xf numFmtId="171" fontId="17" fillId="0" borderId="92" xfId="0" applyFont="1" applyBorder="1" applyAlignment="1" applyProtection="1">
      <alignment horizontal="center"/>
    </xf>
    <xf numFmtId="164" fontId="75" fillId="0" borderId="91" xfId="0" applyNumberFormat="1" applyFont="1" applyBorder="1" applyAlignment="1" applyProtection="1">
      <alignment horizontal="center"/>
    </xf>
    <xf numFmtId="171" fontId="17" fillId="4" borderId="48" xfId="0" applyFont="1" applyFill="1" applyBorder="1" applyAlignment="1" applyProtection="1">
      <alignment horizontal="left" vertical="center"/>
      <protection locked="0"/>
    </xf>
    <xf numFmtId="171" fontId="17" fillId="4" borderId="2" xfId="0" applyFont="1" applyFill="1" applyBorder="1" applyAlignment="1" applyProtection="1">
      <alignment horizontal="left" vertical="center"/>
      <protection locked="0"/>
    </xf>
    <xf numFmtId="171" fontId="17" fillId="4" borderId="70" xfId="0" applyFont="1" applyFill="1" applyBorder="1" applyAlignment="1" applyProtection="1">
      <alignment horizontal="left" vertical="center"/>
      <protection locked="0"/>
    </xf>
    <xf numFmtId="171" fontId="17" fillId="4" borderId="8" xfId="0" applyFont="1" applyFill="1" applyBorder="1" applyAlignment="1" applyProtection="1">
      <alignment horizontal="left" vertical="center"/>
      <protection locked="0"/>
    </xf>
    <xf numFmtId="171" fontId="17" fillId="4" borderId="62" xfId="0" applyFont="1" applyFill="1" applyBorder="1" applyAlignment="1" applyProtection="1">
      <alignment horizontal="left" vertical="center"/>
      <protection locked="0"/>
    </xf>
    <xf numFmtId="171" fontId="17" fillId="4" borderId="14" xfId="0" applyFont="1" applyFill="1" applyBorder="1" applyAlignment="1" applyProtection="1">
      <alignment horizontal="left" vertical="center"/>
      <protection locked="0"/>
    </xf>
    <xf numFmtId="171" fontId="0" fillId="0" borderId="14" xfId="0" applyBorder="1" applyAlignment="1" applyProtection="1">
      <alignment horizontal="left" vertical="center"/>
      <protection locked="0"/>
    </xf>
    <xf numFmtId="171" fontId="17" fillId="4" borderId="63" xfId="0" applyFont="1" applyFill="1" applyBorder="1" applyAlignment="1" applyProtection="1">
      <alignment horizontal="left" vertical="center"/>
      <protection locked="0"/>
    </xf>
    <xf numFmtId="171" fontId="0" fillId="0" borderId="61" xfId="0" applyBorder="1" applyAlignment="1" applyProtection="1">
      <alignment horizontal="left" vertical="center"/>
      <protection locked="0"/>
    </xf>
    <xf numFmtId="171" fontId="23" fillId="0" borderId="64" xfId="0" applyFont="1" applyFill="1" applyBorder="1" applyAlignment="1" applyProtection="1">
      <alignment horizontal="center" vertical="center"/>
    </xf>
    <xf numFmtId="171" fontId="23" fillId="0" borderId="34" xfId="0" applyFont="1" applyFill="1" applyBorder="1" applyAlignment="1" applyProtection="1">
      <alignment horizontal="center" vertical="center"/>
    </xf>
    <xf numFmtId="171" fontId="23" fillId="0" borderId="33" xfId="0" applyFont="1" applyBorder="1" applyAlignment="1" applyProtection="1">
      <alignment horizontal="center" vertical="center" wrapText="1"/>
    </xf>
    <xf numFmtId="171" fontId="23" fillId="0" borderId="34" xfId="0" applyFont="1" applyBorder="1" applyAlignment="1" applyProtection="1">
      <alignment horizontal="center" vertical="center" wrapText="1"/>
    </xf>
    <xf numFmtId="171" fontId="41" fillId="13" borderId="65" xfId="0" applyFont="1" applyFill="1" applyBorder="1" applyAlignment="1" applyProtection="1">
      <alignment horizontal="left" vertical="center"/>
    </xf>
    <xf numFmtId="171" fontId="41" fillId="13" borderId="16" xfId="0" applyFont="1" applyFill="1" applyBorder="1" applyAlignment="1" applyProtection="1">
      <alignment horizontal="left" vertical="center"/>
    </xf>
    <xf numFmtId="171" fontId="27" fillId="0" borderId="0" xfId="0" applyFont="1" applyAlignment="1" applyProtection="1">
      <alignment horizontal="left" vertical="center" wrapText="1" indent="1"/>
    </xf>
    <xf numFmtId="49" fontId="23" fillId="0" borderId="0" xfId="0" applyNumberFormat="1" applyFont="1" applyAlignment="1" applyProtection="1">
      <alignment horizontal="left" vertical="center" wrapText="1"/>
    </xf>
    <xf numFmtId="171" fontId="23" fillId="0" borderId="0" xfId="0" applyFont="1" applyAlignment="1" applyProtection="1">
      <alignment horizontal="center" vertical="center"/>
    </xf>
    <xf numFmtId="171" fontId="41" fillId="13" borderId="62" xfId="0" applyFont="1" applyFill="1" applyBorder="1" applyAlignment="1" applyProtection="1">
      <alignment horizontal="left" vertical="center"/>
    </xf>
    <xf numFmtId="171" fontId="41" fillId="13" borderId="14" xfId="0" applyFont="1" applyFill="1" applyBorder="1" applyAlignment="1" applyProtection="1">
      <alignment horizontal="left" vertical="center"/>
    </xf>
    <xf numFmtId="171" fontId="17" fillId="0" borderId="48" xfId="0" applyFont="1" applyBorder="1" applyAlignment="1" applyProtection="1">
      <alignment horizontal="left" vertical="center"/>
    </xf>
    <xf numFmtId="171" fontId="17" fillId="0" borderId="2" xfId="0" applyFont="1" applyBorder="1" applyAlignment="1" applyProtection="1">
      <alignment horizontal="left" vertical="center"/>
    </xf>
    <xf numFmtId="171" fontId="41" fillId="13" borderId="63" xfId="0" applyFont="1" applyFill="1" applyBorder="1" applyAlignment="1" applyProtection="1">
      <alignment horizontal="left" vertical="center"/>
    </xf>
    <xf numFmtId="171" fontId="41" fillId="13" borderId="61" xfId="0" applyFont="1" applyFill="1" applyBorder="1" applyAlignment="1" applyProtection="1">
      <alignment horizontal="left" vertical="center"/>
    </xf>
    <xf numFmtId="164" fontId="17" fillId="0" borderId="58" xfId="3" applyNumberFormat="1" applyFont="1" applyBorder="1" applyAlignment="1" applyProtection="1">
      <alignment horizontal="left" vertical="center"/>
    </xf>
    <xf numFmtId="164" fontId="17" fillId="0" borderId="59" xfId="3" applyNumberFormat="1" applyFont="1" applyBorder="1" applyAlignment="1" applyProtection="1">
      <alignment horizontal="left" vertical="center"/>
    </xf>
    <xf numFmtId="164" fontId="27" fillId="0" borderId="91" xfId="3" applyNumberFormat="1" applyFont="1" applyBorder="1" applyAlignment="1" applyProtection="1">
      <alignment horizontal="right" vertical="center"/>
    </xf>
    <xf numFmtId="164" fontId="27" fillId="0" borderId="0" xfId="3" applyNumberFormat="1" applyFont="1" applyBorder="1" applyAlignment="1" applyProtection="1">
      <alignment horizontal="right" vertical="center"/>
    </xf>
    <xf numFmtId="171" fontId="27" fillId="0" borderId="88" xfId="0" applyFont="1" applyBorder="1" applyAlignment="1" applyProtection="1">
      <alignment horizontal="center" vertical="top"/>
    </xf>
    <xf numFmtId="49" fontId="17" fillId="4" borderId="87" xfId="3" applyNumberFormat="1" applyFont="1" applyFill="1" applyBorder="1" applyAlignment="1" applyProtection="1">
      <alignment horizontal="left" vertical="center" wrapText="1"/>
      <protection locked="0"/>
    </xf>
    <xf numFmtId="49" fontId="17" fillId="4" borderId="88" xfId="3" applyNumberFormat="1" applyFont="1" applyFill="1" applyBorder="1" applyAlignment="1" applyProtection="1">
      <alignment horizontal="left" vertical="center" wrapText="1"/>
      <protection locked="0"/>
    </xf>
    <xf numFmtId="49" fontId="17" fillId="4" borderId="89" xfId="3" applyNumberFormat="1" applyFont="1" applyFill="1" applyBorder="1" applyAlignment="1" applyProtection="1">
      <alignment horizontal="left" vertical="center" wrapText="1"/>
      <protection locked="0"/>
    </xf>
    <xf numFmtId="49" fontId="17" fillId="4" borderId="84" xfId="3" applyNumberFormat="1" applyFont="1" applyFill="1" applyBorder="1" applyAlignment="1" applyProtection="1">
      <alignment horizontal="left" vertical="center" wrapText="1"/>
      <protection locked="0"/>
    </xf>
    <xf numFmtId="49" fontId="17" fillId="4" borderId="0" xfId="3" applyNumberFormat="1" applyFont="1" applyFill="1" applyBorder="1" applyAlignment="1" applyProtection="1">
      <alignment horizontal="left" vertical="center" wrapText="1"/>
      <protection locked="0"/>
    </xf>
    <xf numFmtId="49" fontId="17" fillId="4" borderId="21" xfId="3" applyNumberFormat="1" applyFont="1" applyFill="1" applyBorder="1" applyAlignment="1" applyProtection="1">
      <alignment horizontal="left" vertical="center" wrapText="1"/>
      <protection locked="0"/>
    </xf>
    <xf numFmtId="49" fontId="17" fillId="4" borderId="58" xfId="3" applyNumberFormat="1" applyFont="1" applyFill="1" applyBorder="1" applyAlignment="1" applyProtection="1">
      <alignment horizontal="left" vertical="center" wrapText="1"/>
      <protection locked="0"/>
    </xf>
    <xf numFmtId="49" fontId="17" fillId="4" borderId="5" xfId="3" applyNumberFormat="1" applyFont="1" applyFill="1" applyBorder="1" applyAlignment="1" applyProtection="1">
      <alignment horizontal="left" vertical="center" wrapText="1"/>
      <protection locked="0"/>
    </xf>
    <xf numFmtId="49" fontId="17" fillId="4" borderId="43" xfId="3" applyNumberFormat="1" applyFont="1" applyFill="1" applyBorder="1" applyAlignment="1" applyProtection="1">
      <alignment horizontal="left" vertical="center" wrapText="1"/>
      <protection locked="0"/>
    </xf>
    <xf numFmtId="171" fontId="44" fillId="0" borderId="18" xfId="0" applyFont="1" applyFill="1" applyBorder="1" applyAlignment="1" applyProtection="1">
      <alignment horizontal="left" vertical="center" wrapText="1"/>
    </xf>
    <xf numFmtId="171" fontId="44" fillId="0" borderId="0" xfId="0" applyFont="1" applyFill="1" applyBorder="1" applyAlignment="1" applyProtection="1">
      <alignment horizontal="left" vertical="center" wrapText="1"/>
    </xf>
    <xf numFmtId="171" fontId="23" fillId="0" borderId="28" xfId="0" applyFont="1" applyFill="1" applyBorder="1" applyAlignment="1" applyProtection="1">
      <alignment horizontal="center" vertical="center" wrapText="1"/>
    </xf>
    <xf numFmtId="171" fontId="23" fillId="0" borderId="46" xfId="0" applyFont="1" applyFill="1" applyBorder="1" applyAlignment="1" applyProtection="1">
      <alignment horizontal="center" vertical="center" wrapText="1"/>
    </xf>
    <xf numFmtId="171" fontId="23" fillId="0" borderId="32" xfId="0" applyFont="1" applyFill="1" applyBorder="1" applyAlignment="1" applyProtection="1">
      <alignment horizontal="center" vertical="center" wrapText="1"/>
    </xf>
    <xf numFmtId="171" fontId="17" fillId="0" borderId="86" xfId="0" applyFont="1" applyBorder="1" applyAlignment="1" applyProtection="1">
      <alignment horizontal="left" vertical="center"/>
    </xf>
    <xf numFmtId="171" fontId="17" fillId="0" borderId="76" xfId="0" applyFont="1" applyBorder="1" applyAlignment="1" applyProtection="1">
      <alignment horizontal="left" vertical="center"/>
    </xf>
    <xf numFmtId="171" fontId="23" fillId="0" borderId="33" xfId="0" applyFont="1" applyFill="1" applyBorder="1" applyAlignment="1" applyProtection="1">
      <alignment horizontal="center" vertical="center" wrapText="1"/>
    </xf>
    <xf numFmtId="171" fontId="17" fillId="4" borderId="25" xfId="0" applyFont="1" applyFill="1" applyBorder="1" applyAlignment="1" applyProtection="1">
      <alignment horizontal="left" vertical="center"/>
      <protection locked="0"/>
    </xf>
    <xf numFmtId="165" fontId="23" fillId="11" borderId="64" xfId="3" applyNumberFormat="1" applyFont="1" applyFill="1" applyBorder="1" applyAlignment="1" applyProtection="1">
      <alignment horizontal="right" vertical="center"/>
    </xf>
    <xf numFmtId="165" fontId="23" fillId="11" borderId="34" xfId="3" applyNumberFormat="1" applyFont="1" applyFill="1" applyBorder="1" applyAlignment="1" applyProtection="1">
      <alignment horizontal="right" vertical="center"/>
    </xf>
    <xf numFmtId="171" fontId="44" fillId="0" borderId="91" xfId="0" applyFont="1" applyFill="1" applyBorder="1" applyAlignment="1" applyProtection="1">
      <alignment horizontal="center" vertical="center" wrapText="1"/>
    </xf>
    <xf numFmtId="171" fontId="44" fillId="0" borderId="0" xfId="0" applyFont="1" applyFill="1" applyBorder="1" applyAlignment="1" applyProtection="1">
      <alignment horizontal="center" vertical="center" wrapText="1"/>
    </xf>
    <xf numFmtId="171" fontId="23" fillId="0" borderId="28" xfId="0" applyFont="1" applyBorder="1" applyAlignment="1" applyProtection="1">
      <alignment horizontal="left" vertical="center"/>
    </xf>
    <xf numFmtId="171" fontId="23" fillId="0" borderId="33" xfId="0" applyFont="1" applyBorder="1" applyAlignment="1" applyProtection="1">
      <alignment horizontal="left" vertical="center"/>
    </xf>
    <xf numFmtId="171" fontId="17" fillId="4" borderId="10" xfId="0" applyFont="1" applyFill="1" applyBorder="1" applyAlignment="1" applyProtection="1">
      <alignment horizontal="left" vertical="center"/>
      <protection locked="0"/>
    </xf>
    <xf numFmtId="171" fontId="23" fillId="0" borderId="85" xfId="0" applyFont="1" applyBorder="1" applyAlignment="1" applyProtection="1">
      <alignment horizontal="left" vertical="center" wrapText="1"/>
    </xf>
    <xf numFmtId="171" fontId="23" fillId="0" borderId="80" xfId="0" applyFont="1" applyBorder="1" applyAlignment="1" applyProtection="1">
      <alignment horizontal="left" vertical="center" wrapText="1"/>
    </xf>
    <xf numFmtId="171" fontId="17" fillId="0" borderId="0" xfId="0" applyFont="1" applyAlignment="1" applyProtection="1">
      <alignment horizontal="right" indent="1"/>
    </xf>
    <xf numFmtId="171" fontId="17" fillId="4" borderId="62" xfId="48" applyFont="1" applyFill="1" applyBorder="1" applyAlignment="1" applyProtection="1">
      <alignment horizontal="left" vertical="center"/>
      <protection locked="0"/>
    </xf>
    <xf numFmtId="171" fontId="17" fillId="4" borderId="14" xfId="48" applyFont="1" applyFill="1" applyBorder="1" applyAlignment="1" applyProtection="1">
      <alignment horizontal="left" vertical="center"/>
      <protection locked="0"/>
    </xf>
    <xf numFmtId="174" fontId="17" fillId="0" borderId="0" xfId="0" applyNumberFormat="1" applyFont="1" applyAlignment="1" applyProtection="1">
      <alignment horizontal="right" vertical="center"/>
    </xf>
    <xf numFmtId="171" fontId="25" fillId="13" borderId="10" xfId="0" applyFont="1" applyFill="1" applyBorder="1" applyAlignment="1" applyProtection="1">
      <alignment horizontal="left"/>
    </xf>
    <xf numFmtId="171" fontId="60" fillId="13" borderId="25" xfId="0" applyFont="1" applyFill="1" applyBorder="1" applyAlignment="1" applyProtection="1">
      <alignment horizontal="left"/>
    </xf>
    <xf numFmtId="171" fontId="60" fillId="13" borderId="14" xfId="0" applyFont="1" applyFill="1" applyBorder="1" applyAlignment="1" applyProtection="1">
      <alignment horizontal="left"/>
    </xf>
    <xf numFmtId="171" fontId="60" fillId="0" borderId="2" xfId="0" applyFont="1" applyBorder="1" applyAlignment="1" applyProtection="1">
      <alignment horizontal="left"/>
    </xf>
    <xf numFmtId="171" fontId="60" fillId="4" borderId="25" xfId="0" applyFont="1" applyFill="1" applyBorder="1" applyAlignment="1" applyProtection="1">
      <alignment horizontal="left"/>
      <protection locked="0"/>
    </xf>
    <xf numFmtId="171" fontId="60" fillId="4" borderId="14" xfId="0" applyFont="1" applyFill="1" applyBorder="1" applyAlignment="1" applyProtection="1">
      <alignment horizontal="left"/>
      <protection locked="0"/>
    </xf>
    <xf numFmtId="171" fontId="60" fillId="0" borderId="44" xfId="0" applyFont="1" applyBorder="1" applyAlignment="1" applyProtection="1">
      <alignment horizontal="left"/>
    </xf>
    <xf numFmtId="171" fontId="60" fillId="0" borderId="4" xfId="0" applyFont="1" applyBorder="1" applyAlignment="1" applyProtection="1">
      <alignment horizontal="left"/>
    </xf>
    <xf numFmtId="171" fontId="60" fillId="0" borderId="14" xfId="0" applyFont="1" applyBorder="1" applyAlignment="1" applyProtection="1">
      <alignment horizontal="left"/>
    </xf>
    <xf numFmtId="171" fontId="57" fillId="0" borderId="10" xfId="0" applyFont="1" applyBorder="1" applyAlignment="1" applyProtection="1">
      <alignment horizontal="left"/>
    </xf>
    <xf numFmtId="171" fontId="57" fillId="0" borderId="25" xfId="0" applyFont="1" applyBorder="1" applyAlignment="1" applyProtection="1">
      <alignment horizontal="left"/>
    </xf>
    <xf numFmtId="171" fontId="57" fillId="0" borderId="14" xfId="0" applyFont="1" applyBorder="1" applyAlignment="1" applyProtection="1">
      <alignment horizontal="left"/>
    </xf>
    <xf numFmtId="171" fontId="60" fillId="0" borderId="10" xfId="0" applyFont="1" applyBorder="1" applyAlignment="1" applyProtection="1">
      <alignment horizontal="left"/>
    </xf>
    <xf numFmtId="171" fontId="60" fillId="0" borderId="25" xfId="0" applyFont="1" applyBorder="1" applyAlignment="1" applyProtection="1">
      <alignment horizontal="left"/>
    </xf>
    <xf numFmtId="171" fontId="60" fillId="0" borderId="10" xfId="0" applyFont="1" applyBorder="1" applyAlignment="1" applyProtection="1">
      <alignment horizontal="left" indent="1"/>
    </xf>
    <xf numFmtId="171" fontId="60" fillId="0" borderId="25" xfId="0" applyFont="1" applyBorder="1" applyAlignment="1" applyProtection="1">
      <alignment horizontal="left" indent="1"/>
    </xf>
    <xf numFmtId="171" fontId="60" fillId="0" borderId="14" xfId="0" applyFont="1" applyBorder="1" applyAlignment="1" applyProtection="1">
      <alignment horizontal="left" indent="1"/>
    </xf>
    <xf numFmtId="49" fontId="58" fillId="4" borderId="18" xfId="3" applyNumberFormat="1" applyFont="1" applyFill="1" applyBorder="1" applyAlignment="1" applyProtection="1">
      <alignment horizontal="left" vertical="top" wrapText="1"/>
      <protection locked="0"/>
    </xf>
    <xf numFmtId="49" fontId="58" fillId="4" borderId="19" xfId="3" applyNumberFormat="1" applyFont="1" applyFill="1" applyBorder="1" applyAlignment="1" applyProtection="1">
      <alignment horizontal="left" vertical="top" wrapText="1"/>
      <protection locked="0"/>
    </xf>
    <xf numFmtId="49" fontId="58" fillId="4" borderId="57" xfId="3" applyNumberFormat="1" applyFont="1" applyFill="1" applyBorder="1" applyAlignment="1" applyProtection="1">
      <alignment horizontal="left" vertical="top" wrapText="1"/>
      <protection locked="0"/>
    </xf>
    <xf numFmtId="49" fontId="58" fillId="4" borderId="0" xfId="3" applyNumberFormat="1" applyFont="1" applyFill="1" applyBorder="1" applyAlignment="1" applyProtection="1">
      <alignment horizontal="left" vertical="top" wrapText="1"/>
      <protection locked="0"/>
    </xf>
    <xf numFmtId="49" fontId="58" fillId="4" borderId="21" xfId="3" applyNumberFormat="1" applyFont="1" applyFill="1" applyBorder="1" applyAlignment="1" applyProtection="1">
      <alignment horizontal="left" vertical="top" wrapText="1"/>
      <protection locked="0"/>
    </xf>
    <xf numFmtId="49" fontId="58" fillId="4" borderId="58" xfId="3" applyNumberFormat="1" applyFont="1" applyFill="1" applyBorder="1" applyAlignment="1" applyProtection="1">
      <alignment horizontal="left" vertical="top" wrapText="1"/>
      <protection locked="0"/>
    </xf>
    <xf numFmtId="49" fontId="58" fillId="4" borderId="5" xfId="3" applyNumberFormat="1" applyFont="1" applyFill="1" applyBorder="1" applyAlignment="1" applyProtection="1">
      <alignment horizontal="left" vertical="top" wrapText="1"/>
      <protection locked="0"/>
    </xf>
    <xf numFmtId="49" fontId="58" fillId="4" borderId="43" xfId="3" applyNumberFormat="1" applyFont="1" applyFill="1" applyBorder="1" applyAlignment="1" applyProtection="1">
      <alignment horizontal="left" vertical="top" wrapText="1"/>
      <protection locked="0"/>
    </xf>
    <xf numFmtId="171" fontId="56" fillId="0" borderId="0" xfId="0" applyFont="1" applyAlignment="1" applyProtection="1">
      <alignment horizontal="right"/>
    </xf>
    <xf numFmtId="171" fontId="58" fillId="0" borderId="0" xfId="0" applyNumberFormat="1" applyFont="1" applyFill="1" applyBorder="1" applyAlignment="1" applyProtection="1">
      <alignment horizontal="center"/>
    </xf>
    <xf numFmtId="171" fontId="25" fillId="0" borderId="0" xfId="0" applyFont="1" applyBorder="1" applyAlignment="1" applyProtection="1">
      <alignment horizontal="right"/>
    </xf>
    <xf numFmtId="171" fontId="60" fillId="0" borderId="0" xfId="0" applyFont="1" applyBorder="1" applyAlignment="1" applyProtection="1">
      <alignment horizontal="right"/>
    </xf>
    <xf numFmtId="171" fontId="60" fillId="0" borderId="10" xfId="0" applyFont="1" applyFill="1" applyBorder="1" applyAlignment="1" applyProtection="1">
      <alignment horizontal="left"/>
    </xf>
    <xf numFmtId="171" fontId="60" fillId="0" borderId="25" xfId="0" applyFont="1" applyFill="1" applyBorder="1" applyAlignment="1" applyProtection="1">
      <alignment horizontal="left"/>
    </xf>
    <xf numFmtId="171" fontId="60" fillId="0" borderId="14" xfId="0" applyFont="1" applyFill="1" applyBorder="1" applyAlignment="1" applyProtection="1">
      <alignment horizontal="left"/>
    </xf>
    <xf numFmtId="171" fontId="25" fillId="0" borderId="10" xfId="0" applyFont="1" applyBorder="1" applyAlignment="1" applyProtection="1">
      <alignment horizontal="left" wrapText="1" indent="1"/>
    </xf>
    <xf numFmtId="171" fontId="60" fillId="0" borderId="25" xfId="0" applyFont="1" applyBorder="1" applyAlignment="1" applyProtection="1">
      <alignment horizontal="left" wrapText="1" indent="1"/>
    </xf>
    <xf numFmtId="171" fontId="60" fillId="0" borderId="14" xfId="0" applyFont="1" applyBorder="1" applyAlignment="1" applyProtection="1">
      <alignment horizontal="left" wrapText="1" indent="1"/>
    </xf>
    <xf numFmtId="171" fontId="57" fillId="0" borderId="2" xfId="0" applyFont="1" applyBorder="1" applyAlignment="1" applyProtection="1">
      <alignment horizontal="left"/>
    </xf>
    <xf numFmtId="171" fontId="57" fillId="0" borderId="44" xfId="0" applyFont="1" applyBorder="1" applyAlignment="1" applyProtection="1">
      <alignment horizontal="left"/>
    </xf>
    <xf numFmtId="171" fontId="57" fillId="0" borderId="4" xfId="0" applyFont="1" applyBorder="1" applyAlignment="1" applyProtection="1">
      <alignment horizontal="left"/>
    </xf>
    <xf numFmtId="171" fontId="60" fillId="0" borderId="44" xfId="0" applyFont="1" applyFill="1" applyBorder="1" applyAlignment="1" applyProtection="1">
      <alignment horizontal="left"/>
    </xf>
    <xf numFmtId="171" fontId="60" fillId="0" borderId="4" xfId="0" applyFont="1" applyFill="1" applyBorder="1" applyAlignment="1" applyProtection="1">
      <alignment horizontal="left"/>
    </xf>
    <xf numFmtId="171" fontId="60" fillId="0" borderId="16" xfId="0" applyFont="1" applyFill="1" applyBorder="1" applyAlignment="1" applyProtection="1">
      <alignment horizontal="left"/>
    </xf>
    <xf numFmtId="171" fontId="57" fillId="0" borderId="27" xfId="0" applyFont="1" applyBorder="1" applyAlignment="1" applyProtection="1">
      <alignment horizontal="left"/>
    </xf>
    <xf numFmtId="171" fontId="57" fillId="0" borderId="26" xfId="0" applyFont="1" applyBorder="1" applyAlignment="1" applyProtection="1">
      <alignment horizontal="left"/>
    </xf>
    <xf numFmtId="171" fontId="60" fillId="0" borderId="16" xfId="0" applyFont="1" applyBorder="1" applyAlignment="1" applyProtection="1">
      <alignment horizontal="left"/>
    </xf>
    <xf numFmtId="171" fontId="57" fillId="0" borderId="15" xfId="0" applyFont="1" applyBorder="1" applyAlignment="1" applyProtection="1">
      <alignment horizontal="left"/>
    </xf>
    <xf numFmtId="171" fontId="29" fillId="4" borderId="0" xfId="0" applyFont="1" applyFill="1" applyAlignment="1" applyProtection="1">
      <alignment horizontal="left" vertical="center"/>
    </xf>
    <xf numFmtId="171" fontId="17" fillId="4" borderId="55" xfId="3" applyNumberFormat="1" applyFont="1" applyFill="1" applyBorder="1" applyAlignment="1" applyProtection="1">
      <alignment horizontal="left" vertical="center" wrapText="1"/>
      <protection locked="0"/>
    </xf>
    <xf numFmtId="171" fontId="17" fillId="4" borderId="18" xfId="3" applyNumberFormat="1" applyFont="1" applyFill="1" applyBorder="1" applyAlignment="1" applyProtection="1">
      <alignment horizontal="left" vertical="center" wrapText="1"/>
      <protection locked="0"/>
    </xf>
    <xf numFmtId="171" fontId="17" fillId="4" borderId="19" xfId="3" applyNumberFormat="1" applyFont="1" applyFill="1" applyBorder="1" applyAlignment="1" applyProtection="1">
      <alignment horizontal="left" vertical="center" wrapText="1"/>
      <protection locked="0"/>
    </xf>
    <xf numFmtId="171" fontId="17" fillId="4" borderId="57" xfId="3" applyNumberFormat="1" applyFont="1" applyFill="1" applyBorder="1" applyAlignment="1" applyProtection="1">
      <alignment horizontal="left" vertical="center" wrapText="1"/>
      <protection locked="0"/>
    </xf>
    <xf numFmtId="171" fontId="17" fillId="4" borderId="0" xfId="3" applyNumberFormat="1" applyFont="1" applyFill="1" applyBorder="1" applyAlignment="1" applyProtection="1">
      <alignment horizontal="left" vertical="center" wrapText="1"/>
      <protection locked="0"/>
    </xf>
    <xf numFmtId="171" fontId="17" fillId="4" borderId="21" xfId="3" applyNumberFormat="1" applyFont="1" applyFill="1" applyBorder="1" applyAlignment="1" applyProtection="1">
      <alignment horizontal="left" vertical="center" wrapText="1"/>
      <protection locked="0"/>
    </xf>
    <xf numFmtId="171" fontId="17" fillId="4" borderId="58" xfId="3" applyNumberFormat="1" applyFont="1" applyFill="1" applyBorder="1" applyAlignment="1" applyProtection="1">
      <alignment horizontal="left" vertical="center" wrapText="1"/>
      <protection locked="0"/>
    </xf>
    <xf numFmtId="171" fontId="17" fillId="4" borderId="5" xfId="3" applyNumberFormat="1" applyFont="1" applyFill="1" applyBorder="1" applyAlignment="1" applyProtection="1">
      <alignment horizontal="left" vertical="center" wrapText="1"/>
      <protection locked="0"/>
    </xf>
    <xf numFmtId="171" fontId="17" fillId="4" borderId="43" xfId="3" applyNumberFormat="1" applyFont="1" applyFill="1" applyBorder="1" applyAlignment="1" applyProtection="1">
      <alignment horizontal="left" vertical="center" wrapText="1"/>
      <protection locked="0"/>
    </xf>
    <xf numFmtId="171" fontId="41" fillId="0" borderId="10" xfId="0" applyFont="1" applyBorder="1" applyAlignment="1" applyProtection="1">
      <alignment horizontal="center" vertical="center"/>
    </xf>
    <xf numFmtId="171" fontId="41" fillId="0" borderId="14" xfId="0" applyFont="1" applyBorder="1" applyAlignment="1" applyProtection="1">
      <alignment horizontal="center" vertical="center"/>
    </xf>
    <xf numFmtId="171" fontId="41" fillId="0" borderId="10" xfId="0" applyFont="1" applyBorder="1" applyAlignment="1" applyProtection="1">
      <alignment horizontal="left" vertical="center"/>
    </xf>
    <xf numFmtId="171" fontId="41" fillId="0" borderId="25" xfId="0" applyFont="1" applyBorder="1" applyAlignment="1" applyProtection="1">
      <alignment horizontal="left" vertical="center"/>
    </xf>
    <xf numFmtId="171" fontId="17" fillId="0" borderId="0" xfId="0" applyNumberFormat="1" applyFont="1" applyFill="1" applyBorder="1" applyAlignment="1" applyProtection="1">
      <alignment horizontal="center" vertical="center"/>
    </xf>
    <xf numFmtId="171" fontId="40" fillId="0" borderId="10" xfId="0" applyFont="1" applyBorder="1" applyAlignment="1" applyProtection="1">
      <alignment horizontal="center" vertical="center"/>
    </xf>
    <xf numFmtId="171" fontId="40" fillId="0" borderId="14" xfId="0" applyFont="1" applyBorder="1" applyAlignment="1" applyProtection="1">
      <alignment horizontal="center" vertical="center"/>
    </xf>
    <xf numFmtId="171" fontId="50" fillId="0" borderId="0" xfId="0" applyFont="1" applyAlignment="1" applyProtection="1">
      <alignment horizontal="left" vertical="center" wrapText="1"/>
    </xf>
    <xf numFmtId="171" fontId="40" fillId="13" borderId="2" xfId="0" applyFont="1" applyFill="1" applyBorder="1" applyAlignment="1" applyProtection="1">
      <alignment horizontal="left" vertical="center"/>
    </xf>
    <xf numFmtId="171" fontId="41" fillId="0" borderId="14" xfId="0" applyFont="1" applyBorder="1" applyAlignment="1" applyProtection="1">
      <alignment horizontal="left" vertical="center"/>
    </xf>
    <xf numFmtId="14" fontId="30" fillId="0" borderId="0" xfId="0" applyNumberFormat="1" applyFont="1" applyAlignment="1" applyProtection="1">
      <alignment horizontal="left" vertical="center"/>
    </xf>
    <xf numFmtId="49" fontId="79" fillId="10" borderId="3" xfId="0" applyNumberFormat="1" applyFont="1" applyFill="1" applyBorder="1" applyAlignment="1" applyProtection="1">
      <alignment horizontal="left" vertical="center" wrapText="1"/>
      <protection locked="0"/>
    </xf>
    <xf numFmtId="49" fontId="79" fillId="10" borderId="66" xfId="0" applyNumberFormat="1" applyFont="1" applyFill="1" applyBorder="1" applyAlignment="1" applyProtection="1">
      <alignment horizontal="left" vertical="center" wrapText="1"/>
      <protection locked="0"/>
    </xf>
    <xf numFmtId="49" fontId="79" fillId="10" borderId="10" xfId="0" applyNumberFormat="1" applyFont="1" applyFill="1" applyBorder="1" applyAlignment="1" applyProtection="1">
      <alignment horizontal="left" vertical="center" wrapText="1"/>
      <protection locked="0"/>
    </xf>
    <xf numFmtId="49" fontId="79" fillId="10" borderId="25" xfId="0" applyNumberFormat="1" applyFont="1" applyFill="1" applyBorder="1" applyAlignment="1" applyProtection="1">
      <alignment horizontal="left" vertical="center" wrapText="1"/>
      <protection locked="0"/>
    </xf>
    <xf numFmtId="49" fontId="79" fillId="10" borderId="39" xfId="0" applyNumberFormat="1" applyFont="1" applyFill="1" applyBorder="1" applyAlignment="1" applyProtection="1">
      <alignment horizontal="left" vertical="center" wrapText="1"/>
      <protection locked="0"/>
    </xf>
    <xf numFmtId="171" fontId="80" fillId="0" borderId="62" xfId="0" applyFont="1" applyBorder="1" applyAlignment="1" applyProtection="1">
      <alignment horizontal="center" vertical="center" wrapText="1"/>
    </xf>
    <xf numFmtId="171" fontId="80" fillId="0" borderId="25" xfId="0" applyFont="1" applyBorder="1" applyAlignment="1" applyProtection="1">
      <alignment horizontal="center" vertical="center" wrapText="1"/>
    </xf>
    <xf numFmtId="171" fontId="80" fillId="0" borderId="39" xfId="0" applyFont="1" applyBorder="1" applyAlignment="1" applyProtection="1">
      <alignment horizontal="center" vertical="center" wrapText="1"/>
    </xf>
    <xf numFmtId="171" fontId="83" fillId="0" borderId="48" xfId="0" applyFont="1" applyBorder="1" applyAlignment="1" applyProtection="1">
      <alignment horizontal="left" vertical="center" wrapText="1"/>
    </xf>
    <xf numFmtId="171" fontId="83" fillId="0" borderId="2" xfId="0" applyFont="1" applyBorder="1" applyAlignment="1" applyProtection="1">
      <alignment horizontal="left" vertical="center" wrapText="1"/>
    </xf>
    <xf numFmtId="171" fontId="83" fillId="0" borderId="22" xfId="0" applyFont="1" applyBorder="1" applyAlignment="1" applyProtection="1">
      <alignment horizontal="left" vertical="center" wrapText="1"/>
    </xf>
    <xf numFmtId="171" fontId="83" fillId="0" borderId="3" xfId="0" applyFont="1" applyBorder="1" applyAlignment="1" applyProtection="1">
      <alignment horizontal="left" vertical="center" wrapText="1"/>
    </xf>
    <xf numFmtId="10" fontId="79" fillId="2" borderId="10" xfId="3" applyNumberFormat="1" applyFont="1" applyFill="1" applyBorder="1" applyAlignment="1" applyProtection="1">
      <alignment horizontal="center" vertical="center"/>
    </xf>
    <xf numFmtId="10" fontId="79" fillId="2" borderId="14" xfId="3" applyNumberFormat="1" applyFont="1" applyFill="1" applyBorder="1" applyAlignment="1" applyProtection="1">
      <alignment horizontal="center" vertical="center"/>
    </xf>
    <xf numFmtId="171" fontId="79" fillId="0" borderId="20" xfId="0" applyFont="1" applyBorder="1" applyAlignment="1" applyProtection="1">
      <alignment horizontal="center" vertical="center"/>
    </xf>
    <xf numFmtId="171" fontId="79" fillId="0" borderId="1" xfId="0" applyFont="1" applyBorder="1" applyAlignment="1" applyProtection="1">
      <alignment horizontal="center" vertical="center"/>
    </xf>
    <xf numFmtId="171" fontId="79" fillId="0" borderId="10" xfId="0" applyFont="1" applyBorder="1" applyAlignment="1" applyProtection="1">
      <alignment horizontal="left" vertical="center"/>
    </xf>
    <xf numFmtId="171" fontId="79" fillId="0" borderId="25" xfId="0" applyFont="1" applyBorder="1" applyAlignment="1" applyProtection="1">
      <alignment horizontal="left" vertical="center"/>
    </xf>
    <xf numFmtId="171" fontId="80" fillId="0" borderId="65" xfId="0" applyFont="1" applyBorder="1" applyAlignment="1" applyProtection="1">
      <alignment horizontal="center" vertical="center" wrapText="1"/>
    </xf>
    <xf numFmtId="171" fontId="80" fillId="0" borderId="4" xfId="0" applyFont="1" applyBorder="1" applyAlignment="1" applyProtection="1">
      <alignment horizontal="center" vertical="center" wrapText="1"/>
    </xf>
    <xf numFmtId="171" fontId="80" fillId="0" borderId="74" xfId="0" applyFont="1" applyBorder="1" applyAlignment="1" applyProtection="1">
      <alignment horizontal="center" vertical="center" wrapText="1"/>
    </xf>
    <xf numFmtId="167" fontId="79" fillId="0" borderId="0" xfId="0" applyNumberFormat="1" applyFont="1" applyAlignment="1" applyProtection="1">
      <alignment horizontal="center" vertical="center"/>
    </xf>
    <xf numFmtId="171" fontId="80" fillId="14" borderId="12" xfId="0" applyFont="1" applyFill="1" applyBorder="1" applyAlignment="1" applyProtection="1">
      <alignment horizontal="center" vertical="center" wrapText="1"/>
    </xf>
    <xf numFmtId="171" fontId="80" fillId="14" borderId="60" xfId="0" applyFont="1" applyFill="1" applyBorder="1" applyAlignment="1" applyProtection="1">
      <alignment horizontal="center" vertical="center"/>
    </xf>
    <xf numFmtId="171" fontId="81" fillId="14" borderId="60" xfId="0" applyFont="1" applyFill="1" applyBorder="1" applyAlignment="1" applyProtection="1">
      <alignment horizontal="center" vertical="center"/>
    </xf>
    <xf numFmtId="171" fontId="79" fillId="0" borderId="0" xfId="0" applyFont="1" applyFill="1" applyAlignment="1" applyProtection="1">
      <alignment horizontal="left" vertical="center" wrapText="1"/>
    </xf>
    <xf numFmtId="49" fontId="79" fillId="10" borderId="12" xfId="0" applyNumberFormat="1" applyFont="1" applyFill="1" applyBorder="1" applyAlignment="1" applyProtection="1">
      <alignment horizontal="left" vertical="center" wrapText="1"/>
      <protection locked="0"/>
    </xf>
    <xf numFmtId="49" fontId="79" fillId="10" borderId="60" xfId="0" applyNumberFormat="1" applyFont="1" applyFill="1" applyBorder="1" applyAlignment="1" applyProtection="1">
      <alignment horizontal="left" vertical="center" wrapText="1"/>
      <protection locked="0"/>
    </xf>
    <xf numFmtId="49" fontId="79" fillId="10" borderId="42" xfId="0" applyNumberFormat="1" applyFont="1" applyFill="1" applyBorder="1" applyAlignment="1" applyProtection="1">
      <alignment horizontal="left" vertical="center" wrapText="1"/>
      <protection locked="0"/>
    </xf>
    <xf numFmtId="171" fontId="83" fillId="0" borderId="70" xfId="0" applyFont="1" applyBorder="1" applyAlignment="1" applyProtection="1">
      <alignment horizontal="left" vertical="center" wrapText="1"/>
    </xf>
    <xf numFmtId="171" fontId="83" fillId="0" borderId="8" xfId="0" applyFont="1" applyBorder="1" applyAlignment="1" applyProtection="1">
      <alignment horizontal="left" vertical="center" wrapText="1"/>
    </xf>
    <xf numFmtId="171" fontId="83" fillId="0" borderId="62" xfId="0" applyFont="1" applyBorder="1" applyAlignment="1" applyProtection="1">
      <alignment horizontal="left" vertical="center" wrapText="1"/>
    </xf>
    <xf numFmtId="171" fontId="83" fillId="0" borderId="25" xfId="0" applyFont="1" applyBorder="1" applyAlignment="1" applyProtection="1">
      <alignment horizontal="left" vertical="center" wrapText="1"/>
    </xf>
    <xf numFmtId="171" fontId="83" fillId="0" borderId="14" xfId="0" applyFont="1" applyBorder="1" applyAlignment="1" applyProtection="1">
      <alignment horizontal="left" vertical="center" wrapText="1"/>
    </xf>
    <xf numFmtId="171" fontId="80" fillId="0" borderId="0" xfId="0" applyFont="1" applyAlignment="1" applyProtection="1">
      <alignment horizontal="center" vertical="center"/>
    </xf>
    <xf numFmtId="171" fontId="80" fillId="0" borderId="0" xfId="0" applyFont="1" applyFill="1" applyBorder="1" applyAlignment="1" applyProtection="1">
      <alignment horizontal="center" vertical="center" wrapText="1"/>
    </xf>
    <xf numFmtId="171" fontId="82" fillId="2" borderId="0" xfId="0" applyFont="1" applyFill="1" applyAlignment="1" applyProtection="1">
      <alignment horizontal="center" vertical="center"/>
    </xf>
    <xf numFmtId="6" fontId="79" fillId="0" borderId="0" xfId="0" applyNumberFormat="1" applyFont="1" applyFill="1" applyAlignment="1" applyProtection="1">
      <alignment horizontal="right" vertical="center" wrapText="1"/>
    </xf>
    <xf numFmtId="171" fontId="79" fillId="0" borderId="0" xfId="0" applyFont="1" applyAlignment="1" applyProtection="1">
      <alignment horizontal="center" vertical="center"/>
    </xf>
    <xf numFmtId="165" fontId="79" fillId="0" borderId="0" xfId="0" applyNumberFormat="1" applyFont="1" applyFill="1" applyAlignment="1" applyProtection="1">
      <alignment horizontal="center" vertical="center"/>
    </xf>
    <xf numFmtId="171" fontId="79" fillId="0" borderId="0" xfId="0" applyFont="1" applyAlignment="1" applyProtection="1">
      <alignment horizontal="left" vertical="center" wrapText="1"/>
    </xf>
  </cellXfs>
  <cellStyles count="140">
    <cellStyle name="Cliff" xfId="95" xr:uid="{00000000-0005-0000-0000-000000000000}"/>
    <cellStyle name="Comma" xfId="1" builtinId="3"/>
    <cellStyle name="Comma 2" xfId="2" xr:uid="{00000000-0005-0000-0000-000002000000}"/>
    <cellStyle name="Comma 2 2" xfId="50" xr:uid="{00000000-0005-0000-0000-000003000000}"/>
    <cellStyle name="Comma 3" xfId="19" xr:uid="{00000000-0005-0000-0000-000004000000}"/>
    <cellStyle name="Comma 3 2" xfId="67" xr:uid="{00000000-0005-0000-0000-000005000000}"/>
    <cellStyle name="Comma 4" xfId="24" xr:uid="{00000000-0005-0000-0000-000006000000}"/>
    <cellStyle name="Comma 5" xfId="51" xr:uid="{00000000-0005-0000-0000-000007000000}"/>
    <cellStyle name="Comma 5 2" xfId="73" xr:uid="{00000000-0005-0000-0000-000008000000}"/>
    <cellStyle name="Comma 6" xfId="98" xr:uid="{00000000-0005-0000-0000-000009000000}"/>
    <cellStyle name="Comma 6 2" xfId="111" xr:uid="{00000000-0005-0000-0000-00000A000000}"/>
    <cellStyle name="Comma 6 2 2" xfId="130" xr:uid="{00000000-0005-0000-0000-00000B000000}"/>
    <cellStyle name="Comma 6 3" xfId="123" xr:uid="{00000000-0005-0000-0000-00000C000000}"/>
    <cellStyle name="Comma 7" xfId="104" xr:uid="{00000000-0005-0000-0000-00000D000000}"/>
    <cellStyle name="Comma 8" xfId="116" xr:uid="{00000000-0005-0000-0000-00000E000000}"/>
    <cellStyle name="Currency" xfId="3" builtinId="4"/>
    <cellStyle name="Currency [0]" xfId="4" builtinId="7"/>
    <cellStyle name="Currency [0] 2" xfId="21" xr:uid="{00000000-0005-0000-0000-000011000000}"/>
    <cellStyle name="Currency [0] 2 2" xfId="68" xr:uid="{00000000-0005-0000-0000-000012000000}"/>
    <cellStyle name="Currency [0] 3" xfId="26" xr:uid="{00000000-0005-0000-0000-000013000000}"/>
    <cellStyle name="Currency [0] 4" xfId="52" xr:uid="{00000000-0005-0000-0000-000014000000}"/>
    <cellStyle name="Currency [0] 4 2" xfId="74" xr:uid="{00000000-0005-0000-0000-000015000000}"/>
    <cellStyle name="Currency [0] 5" xfId="106" xr:uid="{00000000-0005-0000-0000-000016000000}"/>
    <cellStyle name="Currency [0] 6" xfId="118" xr:uid="{00000000-0005-0000-0000-000017000000}"/>
    <cellStyle name="Currency 10" xfId="32" xr:uid="{00000000-0005-0000-0000-000018000000}"/>
    <cellStyle name="Currency 11" xfId="33" xr:uid="{00000000-0005-0000-0000-000019000000}"/>
    <cellStyle name="Currency 12" xfId="34" xr:uid="{00000000-0005-0000-0000-00001A000000}"/>
    <cellStyle name="Currency 13" xfId="35" xr:uid="{00000000-0005-0000-0000-00001B000000}"/>
    <cellStyle name="Currency 14" xfId="36" xr:uid="{00000000-0005-0000-0000-00001C000000}"/>
    <cellStyle name="Currency 15" xfId="37" xr:uid="{00000000-0005-0000-0000-00001D000000}"/>
    <cellStyle name="Currency 16" xfId="38" xr:uid="{00000000-0005-0000-0000-00001E000000}"/>
    <cellStyle name="Currency 17" xfId="41" xr:uid="{00000000-0005-0000-0000-00001F000000}"/>
    <cellStyle name="Currency 18" xfId="42" xr:uid="{00000000-0005-0000-0000-000020000000}"/>
    <cellStyle name="Currency 19" xfId="40" xr:uid="{00000000-0005-0000-0000-000021000000}"/>
    <cellStyle name="Currency 2" xfId="5" xr:uid="{00000000-0005-0000-0000-000022000000}"/>
    <cellStyle name="Currency 2 2" xfId="45" xr:uid="{00000000-0005-0000-0000-000023000000}"/>
    <cellStyle name="Currency 20" xfId="53" xr:uid="{00000000-0005-0000-0000-000024000000}"/>
    <cellStyle name="Currency 20 2" xfId="75" xr:uid="{00000000-0005-0000-0000-000025000000}"/>
    <cellStyle name="Currency 21" xfId="47" xr:uid="{00000000-0005-0000-0000-000026000000}"/>
    <cellStyle name="Currency 22" xfId="58" xr:uid="{00000000-0005-0000-0000-000027000000}"/>
    <cellStyle name="Currency 23" xfId="59" xr:uid="{00000000-0005-0000-0000-000028000000}"/>
    <cellStyle name="Currency 24" xfId="60" xr:uid="{00000000-0005-0000-0000-000029000000}"/>
    <cellStyle name="Currency 25" xfId="62" xr:uid="{00000000-0005-0000-0000-00002A000000}"/>
    <cellStyle name="Currency 26" xfId="63" xr:uid="{00000000-0005-0000-0000-00002B000000}"/>
    <cellStyle name="Currency 27" xfId="64" xr:uid="{00000000-0005-0000-0000-00002C000000}"/>
    <cellStyle name="Currency 28" xfId="65" xr:uid="{00000000-0005-0000-0000-00002D000000}"/>
    <cellStyle name="Currency 29" xfId="66" xr:uid="{00000000-0005-0000-0000-00002E000000}"/>
    <cellStyle name="Currency 3" xfId="20" xr:uid="{00000000-0005-0000-0000-00002F000000}"/>
    <cellStyle name="Currency 3 2" xfId="49" xr:uid="{00000000-0005-0000-0000-000030000000}"/>
    <cellStyle name="Currency 30" xfId="80" xr:uid="{00000000-0005-0000-0000-000031000000}"/>
    <cellStyle name="Currency 31" xfId="81" xr:uid="{00000000-0005-0000-0000-000032000000}"/>
    <cellStyle name="Currency 32" xfId="18" xr:uid="{00000000-0005-0000-0000-000033000000}"/>
    <cellStyle name="Currency 33" xfId="82" xr:uid="{00000000-0005-0000-0000-000034000000}"/>
    <cellStyle name="Currency 34" xfId="84" xr:uid="{00000000-0005-0000-0000-000035000000}"/>
    <cellStyle name="Currency 35" xfId="85" xr:uid="{00000000-0005-0000-0000-000036000000}"/>
    <cellStyle name="Currency 36" xfId="83" xr:uid="{00000000-0005-0000-0000-000037000000}"/>
    <cellStyle name="Currency 37" xfId="86" xr:uid="{00000000-0005-0000-0000-000038000000}"/>
    <cellStyle name="Currency 38" xfId="87" xr:uid="{00000000-0005-0000-0000-000039000000}"/>
    <cellStyle name="Currency 39" xfId="88" xr:uid="{00000000-0005-0000-0000-00003A000000}"/>
    <cellStyle name="Currency 4" xfId="23" xr:uid="{00000000-0005-0000-0000-00003B000000}"/>
    <cellStyle name="Currency 4 2" xfId="70" xr:uid="{00000000-0005-0000-0000-00003C000000}"/>
    <cellStyle name="Currency 40" xfId="89" xr:uid="{00000000-0005-0000-0000-00003D000000}"/>
    <cellStyle name="Currency 41" xfId="90" xr:uid="{00000000-0005-0000-0000-00003E000000}"/>
    <cellStyle name="Currency 42" xfId="93" xr:uid="{00000000-0005-0000-0000-00003F000000}"/>
    <cellStyle name="Currency 43" xfId="94" xr:uid="{00000000-0005-0000-0000-000040000000}"/>
    <cellStyle name="Currency 44" xfId="92" xr:uid="{00000000-0005-0000-0000-000041000000}"/>
    <cellStyle name="Currency 45" xfId="15" xr:uid="{00000000-0005-0000-0000-000042000000}"/>
    <cellStyle name="Currency 45 2" xfId="109" xr:uid="{00000000-0005-0000-0000-000043000000}"/>
    <cellStyle name="Currency 45 2 2" xfId="128" xr:uid="{00000000-0005-0000-0000-000044000000}"/>
    <cellStyle name="Currency 45 3" xfId="121" xr:uid="{00000000-0005-0000-0000-000045000000}"/>
    <cellStyle name="Currency 46" xfId="101" xr:uid="{00000000-0005-0000-0000-000046000000}"/>
    <cellStyle name="Currency 47" xfId="100" xr:uid="{00000000-0005-0000-0000-000047000000}"/>
    <cellStyle name="Currency 48" xfId="105" xr:uid="{00000000-0005-0000-0000-000048000000}"/>
    <cellStyle name="Currency 49" xfId="117" xr:uid="{00000000-0005-0000-0000-000049000000}"/>
    <cellStyle name="Currency 5" xfId="25" xr:uid="{00000000-0005-0000-0000-00004A000000}"/>
    <cellStyle name="Currency 50" xfId="114" xr:uid="{00000000-0005-0000-0000-00004B000000}"/>
    <cellStyle name="Currency 50 2" xfId="134" xr:uid="{58C7CC7F-E4C5-4379-8FFC-41CCC58DAC1C}"/>
    <cellStyle name="Currency 50 2 2" xfId="139" xr:uid="{0C8F38F6-144E-46B6-BA75-371766001B4C}"/>
    <cellStyle name="Currency 50 3" xfId="138" xr:uid="{BF0B8D28-8AB7-4A98-BA01-FB190C7EB7A5}"/>
    <cellStyle name="Currency 6" xfId="28" xr:uid="{00000000-0005-0000-0000-00004C000000}"/>
    <cellStyle name="Currency 7" xfId="29" xr:uid="{00000000-0005-0000-0000-00004D000000}"/>
    <cellStyle name="Currency 8" xfId="30" xr:uid="{00000000-0005-0000-0000-00004E000000}"/>
    <cellStyle name="Currency 9" xfId="31" xr:uid="{00000000-0005-0000-0000-00004F000000}"/>
    <cellStyle name="Hyperlink" xfId="6" builtinId="8"/>
    <cellStyle name="Hyperlink 2" xfId="46" xr:uid="{00000000-0005-0000-0000-000051000000}"/>
    <cellStyle name="Normal" xfId="0" builtinId="0"/>
    <cellStyle name="Normal 10" xfId="14" xr:uid="{00000000-0005-0000-0000-000053000000}"/>
    <cellStyle name="Normal 10 2" xfId="108" xr:uid="{00000000-0005-0000-0000-000054000000}"/>
    <cellStyle name="Normal 10 2 2" xfId="127" xr:uid="{00000000-0005-0000-0000-000055000000}"/>
    <cellStyle name="Normal 10 3" xfId="120" xr:uid="{00000000-0005-0000-0000-000056000000}"/>
    <cellStyle name="Normal 10 4" xfId="132" xr:uid="{00000000-0005-0000-0000-000057000000}"/>
    <cellStyle name="Normal 11" xfId="99" xr:uid="{00000000-0005-0000-0000-000058000000}"/>
    <cellStyle name="Normal 11 2" xfId="112" xr:uid="{00000000-0005-0000-0000-000059000000}"/>
    <cellStyle name="Normal 11 2 2" xfId="131" xr:uid="{00000000-0005-0000-0000-00005A000000}"/>
    <cellStyle name="Normal 11 3" xfId="124" xr:uid="{00000000-0005-0000-0000-00005B000000}"/>
    <cellStyle name="Normal 12" xfId="103" xr:uid="{00000000-0005-0000-0000-00005C000000}"/>
    <cellStyle name="Normal 12 2" xfId="126" xr:uid="{00000000-0005-0000-0000-00005D000000}"/>
    <cellStyle name="Normal 13" xfId="102" xr:uid="{00000000-0005-0000-0000-00005E000000}"/>
    <cellStyle name="Normal 13 2" xfId="125" xr:uid="{00000000-0005-0000-0000-00005F000000}"/>
    <cellStyle name="Normal 14" xfId="115" xr:uid="{00000000-0005-0000-0000-000060000000}"/>
    <cellStyle name="Normal 15" xfId="113" xr:uid="{00000000-0005-0000-0000-000061000000}"/>
    <cellStyle name="Normal 16" xfId="136" xr:uid="{0FBFEB17-B498-4EC6-B1B6-ED217DFBAE5C}"/>
    <cellStyle name="Normal 2" xfId="7" xr:uid="{00000000-0005-0000-0000-000062000000}"/>
    <cellStyle name="Normal 2 2" xfId="48" xr:uid="{00000000-0005-0000-0000-000063000000}"/>
    <cellStyle name="Normal 2 2 2" xfId="72" xr:uid="{00000000-0005-0000-0000-000064000000}"/>
    <cellStyle name="Normal 2 3" xfId="61" xr:uid="{00000000-0005-0000-0000-000065000000}"/>
    <cellStyle name="Normal 2 4" xfId="135" xr:uid="{A0B4DD5F-68AB-464D-9E67-1109655B2593}"/>
    <cellStyle name="Normal 3" xfId="8" xr:uid="{00000000-0005-0000-0000-000066000000}"/>
    <cellStyle name="Normal 3 2" xfId="137" xr:uid="{34E92F19-0E3A-40FB-A183-91985496687A}"/>
    <cellStyle name="Normal 4" xfId="12" xr:uid="{00000000-0005-0000-0000-000067000000}"/>
    <cellStyle name="Normal 4 2" xfId="54" xr:uid="{00000000-0005-0000-0000-000068000000}"/>
    <cellStyle name="Normal 4 2 2" xfId="76" xr:uid="{00000000-0005-0000-0000-000069000000}"/>
    <cellStyle name="Normal 5" xfId="13" xr:uid="{00000000-0005-0000-0000-00006A000000}"/>
    <cellStyle name="Normal 5 2" xfId="44" xr:uid="{00000000-0005-0000-0000-00006B000000}"/>
    <cellStyle name="Normal 5 3" xfId="55" xr:uid="{00000000-0005-0000-0000-00006C000000}"/>
    <cellStyle name="Normal 5 3 2" xfId="77" xr:uid="{00000000-0005-0000-0000-00006D000000}"/>
    <cellStyle name="Normal 6" xfId="11" xr:uid="{00000000-0005-0000-0000-00006E000000}"/>
    <cellStyle name="Normal 6 2" xfId="56" xr:uid="{00000000-0005-0000-0000-00006F000000}"/>
    <cellStyle name="Normal 6 2 2" xfId="78" xr:uid="{00000000-0005-0000-0000-000070000000}"/>
    <cellStyle name="Normal 7" xfId="39" xr:uid="{00000000-0005-0000-0000-000071000000}"/>
    <cellStyle name="Normal 7 2" xfId="71" xr:uid="{00000000-0005-0000-0000-000072000000}"/>
    <cellStyle name="Normal 8" xfId="17" xr:uid="{00000000-0005-0000-0000-000073000000}"/>
    <cellStyle name="Normal 8 2" xfId="96" xr:uid="{00000000-0005-0000-0000-000074000000}"/>
    <cellStyle name="Normal 9" xfId="91" xr:uid="{00000000-0005-0000-0000-000075000000}"/>
    <cellStyle name="Normal 9 2" xfId="97" xr:uid="{00000000-0005-0000-0000-000076000000}"/>
    <cellStyle name="Percent" xfId="9" builtinId="5"/>
    <cellStyle name="Percent 2" xfId="10" xr:uid="{00000000-0005-0000-0000-000079000000}"/>
    <cellStyle name="Percent 2 2" xfId="43" xr:uid="{00000000-0005-0000-0000-00007A000000}"/>
    <cellStyle name="Percent 3" xfId="22" xr:uid="{00000000-0005-0000-0000-00007B000000}"/>
    <cellStyle name="Percent 3 2" xfId="69" xr:uid="{00000000-0005-0000-0000-00007C000000}"/>
    <cellStyle name="Percent 4" xfId="27" xr:uid="{00000000-0005-0000-0000-00007D000000}"/>
    <cellStyle name="Percent 5" xfId="57" xr:uid="{00000000-0005-0000-0000-00007E000000}"/>
    <cellStyle name="Percent 5 2" xfId="79" xr:uid="{00000000-0005-0000-0000-00007F000000}"/>
    <cellStyle name="Percent 6" xfId="16" xr:uid="{00000000-0005-0000-0000-000080000000}"/>
    <cellStyle name="Percent 6 2" xfId="110" xr:uid="{00000000-0005-0000-0000-000081000000}"/>
    <cellStyle name="Percent 6 2 2" xfId="129" xr:uid="{00000000-0005-0000-0000-000082000000}"/>
    <cellStyle name="Percent 6 3" xfId="122" xr:uid="{00000000-0005-0000-0000-000083000000}"/>
    <cellStyle name="Percent 6 4" xfId="133" xr:uid="{00000000-0005-0000-0000-000084000000}"/>
    <cellStyle name="Percent 7" xfId="107" xr:uid="{00000000-0005-0000-0000-000085000000}"/>
    <cellStyle name="Percent 8" xfId="119" xr:uid="{00000000-0005-0000-0000-000086000000}"/>
  </cellStyles>
  <dxfs count="97">
    <dxf>
      <fill>
        <patternFill>
          <bgColor rgb="FF92D050"/>
        </patternFill>
      </fill>
    </dxf>
    <dxf>
      <fill>
        <patternFill>
          <bgColor rgb="FFFF0000"/>
        </patternFill>
      </fill>
    </dxf>
    <dxf>
      <font>
        <color rgb="FF00B050"/>
      </font>
    </dxf>
    <dxf>
      <font>
        <color rgb="FFFF0000"/>
      </font>
    </dxf>
    <dxf>
      <font>
        <color rgb="FF00B050"/>
      </font>
    </dxf>
    <dxf>
      <font>
        <color rgb="FF00B050"/>
      </font>
    </dxf>
    <dxf>
      <font>
        <color theme="7" tint="-0.24994659260841701"/>
      </font>
      <fill>
        <patternFill>
          <fgColor indexed="64"/>
        </patternFill>
      </fill>
    </dxf>
    <dxf>
      <font>
        <color theme="0"/>
      </font>
      <fill>
        <patternFill>
          <bgColor theme="0"/>
        </patternFill>
      </fill>
      <border>
        <left style="thin">
          <color theme="0"/>
        </left>
        <right style="thin">
          <color theme="0"/>
        </right>
        <top style="thin">
          <color theme="0"/>
        </top>
        <bottom style="thin">
          <color theme="0"/>
        </bottom>
        <vertical/>
        <horizontal/>
      </border>
    </dxf>
    <dxf>
      <font>
        <color theme="0"/>
      </font>
      <fill>
        <patternFill>
          <bgColor theme="0"/>
        </patternFill>
      </fill>
      <border>
        <left style="thin">
          <color theme="0"/>
        </left>
        <right style="thin">
          <color theme="0"/>
        </right>
        <top style="thin">
          <color theme="0"/>
        </top>
        <bottom style="thin">
          <color theme="0"/>
        </bottom>
        <vertical/>
        <horizontal/>
      </border>
    </dxf>
    <dxf>
      <font>
        <color theme="0"/>
      </font>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ont>
        <color theme="0"/>
      </font>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theme="0"/>
        </patternFill>
      </fill>
    </dxf>
    <dxf>
      <fill>
        <patternFill>
          <bgColor rgb="FFFF00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ont>
        <color theme="0"/>
      </font>
    </dxf>
    <dxf>
      <fill>
        <patternFill>
          <bgColor rgb="FF00B050"/>
        </patternFill>
      </fill>
    </dxf>
    <dxf>
      <fill>
        <patternFill>
          <bgColor rgb="FFFF0000"/>
        </patternFill>
      </fill>
    </dxf>
    <dxf>
      <fill>
        <patternFill>
          <bgColor rgb="FFFF0000"/>
        </patternFill>
      </fill>
    </dxf>
    <dxf>
      <font>
        <color theme="0"/>
      </font>
    </dxf>
    <dxf>
      <font>
        <color rgb="FFFF0000"/>
      </font>
    </dxf>
    <dxf>
      <fill>
        <patternFill>
          <bgColor rgb="FFFF0000"/>
        </patternFill>
      </fill>
    </dxf>
    <dxf>
      <fill>
        <patternFill>
          <bgColor rgb="FFFF0000"/>
        </patternFill>
      </fill>
    </dxf>
    <dxf>
      <fill>
        <patternFill>
          <bgColor rgb="FFFFFF00"/>
        </patternFill>
      </fill>
    </dxf>
    <dxf>
      <fill>
        <patternFill>
          <bgColor rgb="FFFF0000"/>
        </patternFill>
      </fill>
    </dxf>
    <dxf>
      <fill>
        <patternFill>
          <bgColor rgb="FFFF0000"/>
        </patternFill>
      </fill>
    </dxf>
    <dxf>
      <font>
        <color rgb="FFFF0000"/>
      </font>
    </dxf>
    <dxf>
      <font>
        <color rgb="FF00B050"/>
      </font>
    </dxf>
    <dxf>
      <font>
        <color rgb="FFFF0000"/>
      </font>
    </dxf>
    <dxf>
      <font>
        <color rgb="FF00B050"/>
      </font>
    </dxf>
    <dxf>
      <fill>
        <patternFill>
          <bgColor rgb="FFFF0000"/>
        </patternFill>
      </fill>
    </dxf>
    <dxf>
      <fill>
        <patternFill>
          <bgColor rgb="FFFF0000"/>
        </patternFill>
      </fill>
    </dxf>
    <dxf>
      <fill>
        <patternFill>
          <bgColor rgb="FFFF0000"/>
        </patternFill>
      </fill>
    </dxf>
    <dxf>
      <font>
        <b/>
        <i val="0"/>
        <color rgb="FFFF0000"/>
      </font>
    </dxf>
    <dxf>
      <font>
        <b/>
        <i val="0"/>
        <color rgb="FFFF0000"/>
      </font>
    </dxf>
    <dxf>
      <font>
        <color theme="0"/>
      </font>
      <fill>
        <patternFill>
          <bgColor theme="0"/>
        </patternFill>
      </fill>
      <border>
        <left/>
        <right/>
        <top/>
        <bottom/>
      </border>
    </dxf>
    <dxf>
      <fill>
        <patternFill>
          <bgColor rgb="FFFFFF00"/>
        </patternFill>
      </fill>
    </dxf>
    <dxf>
      <fill>
        <patternFill>
          <bgColor rgb="FFFFFF00"/>
        </patternFill>
      </fill>
    </dxf>
    <dxf>
      <fill>
        <patternFill>
          <bgColor rgb="FFFFFF00"/>
        </patternFill>
      </fill>
    </dxf>
    <dxf>
      <fill>
        <patternFill>
          <bgColor rgb="FFFFFF00"/>
        </patternFill>
      </fill>
    </dxf>
    <dxf>
      <font>
        <color theme="0"/>
      </font>
      <fill>
        <patternFill>
          <bgColor theme="0"/>
        </patternFill>
      </fill>
      <border>
        <left/>
        <right/>
        <top/>
        <bottom/>
        <vertical/>
        <horizontal/>
      </border>
    </dxf>
    <dxf>
      <font>
        <color rgb="FFFF0000"/>
      </font>
      <fill>
        <patternFill>
          <bgColor theme="0"/>
        </patternFill>
      </fill>
      <border>
        <left/>
        <right/>
        <top/>
        <bottom/>
      </border>
    </dxf>
    <dxf>
      <font>
        <color theme="1" tint="0.34998626667073579"/>
      </font>
      <fill>
        <patternFill>
          <bgColor theme="1" tint="0.34998626667073579"/>
        </patternFill>
      </fill>
    </dxf>
    <dxf>
      <font>
        <color theme="1" tint="0.34998626667073579"/>
      </font>
      <fill>
        <patternFill>
          <bgColor theme="1" tint="0.34998626667073579"/>
        </patternFill>
      </fill>
    </dxf>
    <dxf>
      <font>
        <color theme="0"/>
      </font>
      <fill>
        <patternFill patternType="solid">
          <bgColor theme="1" tint="0.34998626667073579"/>
        </patternFill>
      </fill>
    </dxf>
    <dxf>
      <font>
        <color theme="0"/>
      </font>
      <fill>
        <patternFill patternType="solid">
          <bgColor theme="1" tint="0.34998626667073579"/>
        </patternFill>
      </fill>
    </dxf>
    <dxf>
      <fill>
        <patternFill patternType="darkGray">
          <bgColor theme="0"/>
        </patternFill>
      </fill>
    </dxf>
    <dxf>
      <fill>
        <patternFill>
          <bgColor rgb="FFFF00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8" tint="0.79998168889431442"/>
        </patternFill>
      </fill>
    </dxf>
    <dxf>
      <fill>
        <patternFill>
          <bgColor theme="8" tint="0.79998168889431442"/>
        </patternFill>
      </fill>
    </dxf>
    <dxf>
      <fill>
        <patternFill>
          <bgColor rgb="FFFF0000"/>
        </patternFill>
      </fill>
    </dxf>
    <dxf>
      <font>
        <color theme="0"/>
      </font>
      <numFmt numFmtId="167" formatCode="&quot;$&quot;#,##0.00"/>
    </dxf>
    <dxf>
      <fill>
        <patternFill patternType="darkGray"/>
      </fill>
    </dxf>
    <dxf>
      <fill>
        <patternFill patternType="darkGray"/>
      </fill>
    </dxf>
    <dxf>
      <fill>
        <patternFill patternType="darkGray"/>
      </fill>
    </dxf>
    <dxf>
      <fill>
        <patternFill>
          <bgColor theme="9"/>
        </patternFill>
      </fill>
    </dxf>
    <dxf>
      <fill>
        <patternFill>
          <bgColor rgb="FFFF0000"/>
        </patternFill>
      </fill>
    </dxf>
    <dxf>
      <fill>
        <patternFill>
          <bgColor theme="8" tint="0.79998168889431442"/>
        </patternFill>
      </fill>
      <border>
        <top style="thin">
          <color auto="1"/>
        </top>
        <bottom style="thin">
          <color auto="1"/>
        </bottom>
        <vertical/>
        <horizontal/>
      </border>
    </dxf>
    <dxf>
      <font>
        <color theme="0"/>
      </font>
      <fill>
        <patternFill>
          <bgColor theme="0"/>
        </patternFill>
      </fill>
    </dxf>
  </dxf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8080FF"/>
      <rgbColor rgb="00802060"/>
      <rgbColor rgb="00FFFFC0"/>
      <rgbColor rgb="00A0E0E0"/>
      <rgbColor rgb="00600080"/>
      <rgbColor rgb="00FF8080"/>
      <rgbColor rgb="000080C0"/>
      <rgbColor rgb="00C0C0FF"/>
      <rgbColor rgb="00000080"/>
      <rgbColor rgb="00FF00FF"/>
      <rgbColor rgb="00FFFF00"/>
      <rgbColor rgb="0000FFFF"/>
      <rgbColor rgb="00800080"/>
      <rgbColor rgb="00800000"/>
      <rgbColor rgb="00008080"/>
      <rgbColor rgb="000000FF"/>
      <rgbColor rgb="0000CCFF"/>
      <rgbColor rgb="0069FFFF"/>
      <rgbColor rgb="00CCFFCC"/>
      <rgbColor rgb="00FFFF99"/>
      <rgbColor rgb="00A6CAF0"/>
      <rgbColor rgb="00CC9CCC"/>
      <rgbColor rgb="00CC99FF"/>
      <rgbColor rgb="00E3E3E3"/>
      <rgbColor rgb="003366FF"/>
      <rgbColor rgb="0033CCCC"/>
      <rgbColor rgb="00339933"/>
      <rgbColor rgb="00999933"/>
      <rgbColor rgb="00996633"/>
      <rgbColor rgb="00996666"/>
      <rgbColor rgb="00666699"/>
      <rgbColor rgb="00969696"/>
      <rgbColor rgb="003333CC"/>
      <rgbColor rgb="00336666"/>
      <rgbColor rgb="00003300"/>
      <rgbColor rgb="00333300"/>
      <rgbColor rgb="00663300"/>
      <rgbColor rgb="00993366"/>
      <rgbColor rgb="00333399"/>
      <rgbColor rgb="00424242"/>
    </indexedColors>
    <mruColors>
      <color rgb="FFFFFF99"/>
      <color rgb="FFFFFF66"/>
      <color rgb="FFCCE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18" Type="http://schemas.openxmlformats.org/officeDocument/2006/relationships/customXml" Target="../customXml/item1.xml"/><Relationship Id="rId3" Type="http://schemas.openxmlformats.org/officeDocument/2006/relationships/worksheet" Target="worksheets/sheet3.xml"/><Relationship Id="rId21" Type="http://schemas.openxmlformats.org/officeDocument/2006/relationships/customXml" Target="../customXml/item4.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eetMetadata" Target="metadata.xml"/><Relationship Id="rId20" Type="http://schemas.openxmlformats.org/officeDocument/2006/relationships/customXml" Target="../customXml/item3.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4</xdr:col>
      <xdr:colOff>121920</xdr:colOff>
      <xdr:row>154</xdr:row>
      <xdr:rowOff>7620</xdr:rowOff>
    </xdr:from>
    <xdr:to>
      <xdr:col>4</xdr:col>
      <xdr:colOff>1028700</xdr:colOff>
      <xdr:row>296</xdr:row>
      <xdr:rowOff>0</xdr:rowOff>
    </xdr:to>
    <xdr:sp macro="" textlink="">
      <xdr:nvSpPr>
        <xdr:cNvPr id="4" name="Right Brace 3">
          <a:extLst>
            <a:ext uri="{FF2B5EF4-FFF2-40B4-BE49-F238E27FC236}">
              <a16:creationId xmlns:a16="http://schemas.microsoft.com/office/drawing/2014/main" id="{00000000-0008-0000-1200-000004000000}"/>
            </a:ext>
          </a:extLst>
        </xdr:cNvPr>
        <xdr:cNvSpPr/>
      </xdr:nvSpPr>
      <xdr:spPr bwMode="auto">
        <a:xfrm>
          <a:off x="11140440" y="23477220"/>
          <a:ext cx="906780" cy="21785580"/>
        </a:xfrm>
        <a:prstGeom prst="rightBrace">
          <a:avLst/>
        </a:prstGeom>
        <a:solidFill>
          <a:srgbClr val="FFFFFF"/>
        </a:solidFill>
        <a:ln w="9525"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lang="en-US" sz="1100"/>
        </a:p>
      </xdr:txBody>
    </xdr:sp>
    <xdr:clientData/>
  </xdr:twoCellAnchor>
  <xdr:twoCellAnchor>
    <xdr:from>
      <xdr:col>4</xdr:col>
      <xdr:colOff>1089660</xdr:colOff>
      <xdr:row>220</xdr:row>
      <xdr:rowOff>76200</xdr:rowOff>
    </xdr:from>
    <xdr:to>
      <xdr:col>6</xdr:col>
      <xdr:colOff>403860</xdr:colOff>
      <xdr:row>229</xdr:row>
      <xdr:rowOff>160020</xdr:rowOff>
    </xdr:to>
    <xdr:sp macro="" textlink="">
      <xdr:nvSpPr>
        <xdr:cNvPr id="5" name="TextBox 4">
          <a:extLst>
            <a:ext uri="{FF2B5EF4-FFF2-40B4-BE49-F238E27FC236}">
              <a16:creationId xmlns:a16="http://schemas.microsoft.com/office/drawing/2014/main" id="{00000000-0008-0000-1200-000005000000}"/>
            </a:ext>
          </a:extLst>
        </xdr:cNvPr>
        <xdr:cNvSpPr txBox="1"/>
      </xdr:nvSpPr>
      <xdr:spPr>
        <a:xfrm>
          <a:off x="12108180" y="33604200"/>
          <a:ext cx="1851660" cy="159258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100"/>
            <a:t>Supplemental Question - Were there sufficient funds identified for non-residential sources to fund the non-residential</a:t>
          </a:r>
          <a:r>
            <a:rPr lang="en-US" sz="1100" baseline="0"/>
            <a:t> costs?</a:t>
          </a:r>
        </a:p>
        <a:p>
          <a:r>
            <a:rPr lang="en-US" sz="1100" baseline="0"/>
            <a:t>Topeka doesn't need these mapped. Will this affect downstream stuff?</a:t>
          </a:r>
          <a:endParaRPr lang="en-US" sz="1100"/>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printerSettings" Target="../printerSettings/printerSettings6.bin"/><Relationship Id="rId1" Type="http://schemas.openxmlformats.org/officeDocument/2006/relationships/printerSettings" Target="../printerSettings/printerSettings5.bin"/><Relationship Id="rId4" Type="http://schemas.openxmlformats.org/officeDocument/2006/relationships/comments" Target="../comments1.xml"/></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printerSettings" Target="../printerSettings/printerSettings8.bin"/><Relationship Id="rId1" Type="http://schemas.openxmlformats.org/officeDocument/2006/relationships/printerSettings" Target="../printerSettings/printerSettings7.bin"/><Relationship Id="rId4" Type="http://schemas.openxmlformats.org/officeDocument/2006/relationships/comments" Target="../comments2.xml"/></Relationships>
</file>

<file path=xl/worksheets/_rels/sheet7.xml.rels><?xml version="1.0" encoding="UTF-8" standalone="yes"?>
<Relationships xmlns="http://schemas.openxmlformats.org/package/2006/relationships"><Relationship Id="rId2" Type="http://schemas.openxmlformats.org/officeDocument/2006/relationships/printerSettings" Target="../printerSettings/printerSettings10.bin"/><Relationship Id="rId1" Type="http://schemas.openxmlformats.org/officeDocument/2006/relationships/printerSettings" Target="../printerSettings/printerSettings9.bin"/></Relationships>
</file>

<file path=xl/worksheets/_rels/sheet8.xml.rels><?xml version="1.0" encoding="UTF-8" standalone="yes"?>
<Relationships xmlns="http://schemas.openxmlformats.org/package/2006/relationships"><Relationship Id="rId2" Type="http://schemas.openxmlformats.org/officeDocument/2006/relationships/printerSettings" Target="../printerSettings/printerSettings12.bin"/><Relationship Id="rId1" Type="http://schemas.openxmlformats.org/officeDocument/2006/relationships/printerSettings" Target="../printerSettings/printerSettings11.bin"/></Relationships>
</file>

<file path=xl/worksheets/_rels/sheet9.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printerSettings" Target="../printerSettings/printerSettings14.bin"/><Relationship Id="rId1" Type="http://schemas.openxmlformats.org/officeDocument/2006/relationships/printerSettings" Target="../printerSettings/printerSettings13.bin"/><Relationship Id="rId4" Type="http://schemas.openxmlformats.org/officeDocument/2006/relationships/comments" Target="../comments3.xml"/></Relationships>
</file>

<file path=xl/worksheets/_rels/sheet10.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printerSettings" Target="../printerSettings/printerSettings16.bin"/><Relationship Id="rId1" Type="http://schemas.openxmlformats.org/officeDocument/2006/relationships/printerSettings" Target="../printerSettings/printerSettings15.bin"/><Relationship Id="rId4" Type="http://schemas.openxmlformats.org/officeDocument/2006/relationships/comments" Target="../comments4.xml"/></Relationships>
</file>

<file path=xl/worksheets/_rels/sheet11.xml.rels><?xml version="1.0" encoding="UTF-8" standalone="yes"?>
<Relationships xmlns="http://schemas.openxmlformats.org/package/2006/relationships"><Relationship Id="rId2" Type="http://schemas.openxmlformats.org/officeDocument/2006/relationships/printerSettings" Target="../printerSettings/printerSettings18.bin"/><Relationship Id="rId1" Type="http://schemas.openxmlformats.org/officeDocument/2006/relationships/printerSettings" Target="../printerSettings/printerSettings17.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sheetPr codeName="Sheet9">
    <pageSetUpPr fitToPage="1"/>
  </sheetPr>
  <dimension ref="A1:E416"/>
  <sheetViews>
    <sheetView workbookViewId="0">
      <pane ySplit="1" topLeftCell="A113" activePane="bottomLeft" state="frozen"/>
      <selection activeCell="C3" sqref="C3"/>
      <selection pane="bottomLeft" activeCell="D148" sqref="D148"/>
    </sheetView>
  </sheetViews>
  <sheetFormatPr defaultColWidth="9.140625" defaultRowHeight="12.75" x14ac:dyDescent="0.2"/>
  <cols>
    <col min="1" max="1" width="30.85546875" style="840" customWidth="1"/>
    <col min="2" max="2" width="31.28515625" style="770" customWidth="1"/>
    <col min="3" max="3" width="83.85546875" style="770" customWidth="1"/>
    <col min="4" max="4" width="88.5703125" style="770" customWidth="1"/>
    <col min="5" max="16384" width="9.140625" style="823"/>
  </cols>
  <sheetData>
    <row r="1" spans="1:4" x14ac:dyDescent="0.2">
      <c r="A1" s="822" t="s">
        <v>1621</v>
      </c>
      <c r="B1" s="762" t="s">
        <v>742</v>
      </c>
      <c r="C1" s="771" t="s">
        <v>1730</v>
      </c>
      <c r="D1" s="762" t="s">
        <v>744</v>
      </c>
    </row>
    <row r="2" spans="1:4" ht="26.45" hidden="1" customHeight="1" x14ac:dyDescent="0.2">
      <c r="A2" s="824">
        <v>2016</v>
      </c>
      <c r="B2" s="763" t="s">
        <v>743</v>
      </c>
      <c r="C2" s="763" t="s">
        <v>745</v>
      </c>
      <c r="D2" s="763" t="s">
        <v>746</v>
      </c>
    </row>
    <row r="3" spans="1:4" ht="39.6" hidden="1" customHeight="1" x14ac:dyDescent="0.2">
      <c r="A3" s="824"/>
      <c r="B3" s="763" t="s">
        <v>760</v>
      </c>
      <c r="C3" s="763" t="s">
        <v>761</v>
      </c>
      <c r="D3" s="763" t="s">
        <v>762</v>
      </c>
    </row>
    <row r="4" spans="1:4" ht="26.45" hidden="1" customHeight="1" x14ac:dyDescent="0.2">
      <c r="A4" s="824"/>
      <c r="B4" s="763" t="s">
        <v>760</v>
      </c>
      <c r="C4" s="763" t="s">
        <v>772</v>
      </c>
      <c r="D4" s="763" t="s">
        <v>773</v>
      </c>
    </row>
    <row r="5" spans="1:4" ht="39.6" hidden="1" customHeight="1" x14ac:dyDescent="0.2">
      <c r="A5" s="824"/>
      <c r="B5" s="764" t="s">
        <v>760</v>
      </c>
      <c r="C5" s="764" t="s">
        <v>791</v>
      </c>
      <c r="D5" s="764" t="s">
        <v>792</v>
      </c>
    </row>
    <row r="6" spans="1:4" ht="13.15" hidden="1" customHeight="1" x14ac:dyDescent="0.2">
      <c r="A6" s="824"/>
      <c r="B6" s="763" t="s">
        <v>188</v>
      </c>
      <c r="C6" s="763" t="s">
        <v>767</v>
      </c>
      <c r="D6" s="763" t="s">
        <v>768</v>
      </c>
    </row>
    <row r="7" spans="1:4" ht="26.45" hidden="1" customHeight="1" x14ac:dyDescent="0.2">
      <c r="A7" s="824"/>
      <c r="B7" s="764" t="s">
        <v>188</v>
      </c>
      <c r="C7" s="764" t="s">
        <v>787</v>
      </c>
      <c r="D7" s="764" t="s">
        <v>788</v>
      </c>
    </row>
    <row r="8" spans="1:4" ht="26.45" hidden="1" customHeight="1" x14ac:dyDescent="0.2">
      <c r="A8" s="824"/>
      <c r="B8" s="764" t="s">
        <v>188</v>
      </c>
      <c r="C8" s="764" t="s">
        <v>789</v>
      </c>
      <c r="D8" s="764" t="s">
        <v>790</v>
      </c>
    </row>
    <row r="9" spans="1:4" ht="26.45" hidden="1" customHeight="1" x14ac:dyDescent="0.2">
      <c r="A9" s="824"/>
      <c r="B9" s="764" t="s">
        <v>188</v>
      </c>
      <c r="C9" s="764" t="s">
        <v>795</v>
      </c>
      <c r="D9" s="764" t="s">
        <v>796</v>
      </c>
    </row>
    <row r="10" spans="1:4" ht="26.45" hidden="1" customHeight="1" x14ac:dyDescent="0.2">
      <c r="A10" s="824"/>
      <c r="B10" s="763" t="s">
        <v>187</v>
      </c>
      <c r="C10" s="763" t="s">
        <v>751</v>
      </c>
      <c r="D10" s="763" t="s">
        <v>752</v>
      </c>
    </row>
    <row r="11" spans="1:4" ht="26.45" hidden="1" customHeight="1" x14ac:dyDescent="0.2">
      <c r="A11" s="824"/>
      <c r="B11" s="765" t="s">
        <v>187</v>
      </c>
      <c r="C11" s="765" t="s">
        <v>782</v>
      </c>
      <c r="D11" s="765" t="s">
        <v>783</v>
      </c>
    </row>
    <row r="12" spans="1:4" ht="26.45" hidden="1" customHeight="1" x14ac:dyDescent="0.2">
      <c r="A12" s="824"/>
      <c r="B12" s="764" t="s">
        <v>187</v>
      </c>
      <c r="C12" s="764" t="s">
        <v>776</v>
      </c>
      <c r="D12" s="764" t="s">
        <v>777</v>
      </c>
    </row>
    <row r="13" spans="1:4" ht="39.6" hidden="1" customHeight="1" x14ac:dyDescent="0.2">
      <c r="A13" s="824"/>
      <c r="B13" s="764" t="s">
        <v>187</v>
      </c>
      <c r="C13" s="764" t="s">
        <v>778</v>
      </c>
      <c r="D13" s="764" t="s">
        <v>779</v>
      </c>
    </row>
    <row r="14" spans="1:4" ht="26.45" hidden="1" customHeight="1" x14ac:dyDescent="0.2">
      <c r="A14" s="824"/>
      <c r="B14" s="763" t="s">
        <v>780</v>
      </c>
      <c r="C14" s="763" t="s">
        <v>769</v>
      </c>
      <c r="D14" s="763" t="s">
        <v>770</v>
      </c>
    </row>
    <row r="15" spans="1:4" ht="26.45" hidden="1" customHeight="1" x14ac:dyDescent="0.2">
      <c r="A15" s="824"/>
      <c r="B15" s="764" t="s">
        <v>780</v>
      </c>
      <c r="C15" s="764" t="s">
        <v>793</v>
      </c>
      <c r="D15" s="764" t="s">
        <v>781</v>
      </c>
    </row>
    <row r="16" spans="1:4" ht="13.15" hidden="1" customHeight="1" x14ac:dyDescent="0.2">
      <c r="A16" s="824"/>
      <c r="B16" s="763" t="s">
        <v>749</v>
      </c>
      <c r="C16" s="763" t="s">
        <v>794</v>
      </c>
      <c r="D16" s="763" t="s">
        <v>750</v>
      </c>
    </row>
    <row r="17" spans="1:4" ht="26.45" hidden="1" customHeight="1" x14ac:dyDescent="0.2">
      <c r="A17" s="824"/>
      <c r="B17" s="763" t="s">
        <v>749</v>
      </c>
      <c r="C17" s="763" t="s">
        <v>771</v>
      </c>
      <c r="D17" s="763" t="s">
        <v>774</v>
      </c>
    </row>
    <row r="18" spans="1:4" ht="26.45" hidden="1" customHeight="1" x14ac:dyDescent="0.2">
      <c r="A18" s="824"/>
      <c r="B18" s="763" t="s">
        <v>183</v>
      </c>
      <c r="C18" s="763" t="s">
        <v>748</v>
      </c>
      <c r="D18" s="763" t="s">
        <v>747</v>
      </c>
    </row>
    <row r="19" spans="1:4" ht="26.45" hidden="1" customHeight="1" x14ac:dyDescent="0.2">
      <c r="A19" s="824"/>
      <c r="B19" s="763" t="s">
        <v>743</v>
      </c>
      <c r="C19" s="763" t="s">
        <v>754</v>
      </c>
      <c r="D19" s="763" t="s">
        <v>755</v>
      </c>
    </row>
    <row r="20" spans="1:4" ht="26.45" hidden="1" customHeight="1" x14ac:dyDescent="0.2">
      <c r="A20" s="824"/>
      <c r="B20" s="763" t="s">
        <v>743</v>
      </c>
      <c r="C20" s="763" t="s">
        <v>756</v>
      </c>
      <c r="D20" s="763" t="s">
        <v>757</v>
      </c>
    </row>
    <row r="21" spans="1:4" ht="39.6" hidden="1" customHeight="1" x14ac:dyDescent="0.2">
      <c r="A21" s="824"/>
      <c r="B21" s="763" t="s">
        <v>743</v>
      </c>
      <c r="C21" s="763" t="s">
        <v>763</v>
      </c>
      <c r="D21" s="763" t="s">
        <v>764</v>
      </c>
    </row>
    <row r="22" spans="1:4" ht="26.45" hidden="1" customHeight="1" x14ac:dyDescent="0.2">
      <c r="A22" s="824"/>
      <c r="B22" s="763" t="s">
        <v>743</v>
      </c>
      <c r="C22" s="763" t="s">
        <v>765</v>
      </c>
      <c r="D22" s="763" t="s">
        <v>766</v>
      </c>
    </row>
    <row r="23" spans="1:4" ht="13.15" hidden="1" customHeight="1" x14ac:dyDescent="0.2">
      <c r="A23" s="824"/>
      <c r="B23" s="763" t="s">
        <v>799</v>
      </c>
      <c r="C23" s="763" t="s">
        <v>802</v>
      </c>
      <c r="D23" s="763" t="s">
        <v>800</v>
      </c>
    </row>
    <row r="24" spans="1:4" ht="26.45" hidden="1" customHeight="1" x14ac:dyDescent="0.2">
      <c r="A24" s="824"/>
      <c r="B24" s="763" t="s">
        <v>183</v>
      </c>
      <c r="C24" s="763" t="s">
        <v>801</v>
      </c>
      <c r="D24" s="763" t="s">
        <v>800</v>
      </c>
    </row>
    <row r="25" spans="1:4" ht="26.45" hidden="1" customHeight="1" x14ac:dyDescent="0.2">
      <c r="A25" s="824">
        <v>2017</v>
      </c>
      <c r="B25" s="766" t="s">
        <v>743</v>
      </c>
      <c r="C25" s="766" t="s">
        <v>1420</v>
      </c>
      <c r="D25" s="766" t="s">
        <v>1421</v>
      </c>
    </row>
    <row r="26" spans="1:4" ht="13.15" hidden="1" customHeight="1" x14ac:dyDescent="0.2">
      <c r="A26" s="824"/>
      <c r="B26" s="766" t="s">
        <v>743</v>
      </c>
      <c r="C26" s="766" t="s">
        <v>1422</v>
      </c>
      <c r="D26" s="766" t="s">
        <v>1423</v>
      </c>
    </row>
    <row r="27" spans="1:4" ht="13.15" hidden="1" customHeight="1" x14ac:dyDescent="0.2">
      <c r="A27" s="824"/>
      <c r="B27" s="763" t="s">
        <v>749</v>
      </c>
      <c r="C27" s="763" t="s">
        <v>1460</v>
      </c>
      <c r="D27" s="763" t="s">
        <v>1459</v>
      </c>
    </row>
    <row r="28" spans="1:4" ht="26.45" hidden="1" customHeight="1" x14ac:dyDescent="0.2">
      <c r="A28" s="824"/>
      <c r="B28" s="763" t="s">
        <v>760</v>
      </c>
      <c r="C28" s="763" t="s">
        <v>1470</v>
      </c>
      <c r="D28" s="763" t="s">
        <v>1471</v>
      </c>
    </row>
    <row r="29" spans="1:4" ht="13.15" hidden="1" customHeight="1" x14ac:dyDescent="0.2">
      <c r="A29" s="824"/>
      <c r="B29" s="763" t="s">
        <v>1472</v>
      </c>
      <c r="C29" s="763" t="s">
        <v>1473</v>
      </c>
      <c r="D29" s="763" t="s">
        <v>1494</v>
      </c>
    </row>
    <row r="30" spans="1:4" ht="26.45" hidden="1" customHeight="1" x14ac:dyDescent="0.2">
      <c r="A30" s="824"/>
      <c r="B30" s="766" t="s">
        <v>1475</v>
      </c>
      <c r="C30" s="766" t="s">
        <v>1476</v>
      </c>
      <c r="D30" s="766" t="s">
        <v>1477</v>
      </c>
    </row>
    <row r="31" spans="1:4" ht="13.15" hidden="1" customHeight="1" x14ac:dyDescent="0.2">
      <c r="A31" s="824"/>
      <c r="B31" s="766" t="s">
        <v>743</v>
      </c>
      <c r="C31" s="766" t="s">
        <v>1478</v>
      </c>
      <c r="D31" s="766" t="s">
        <v>1479</v>
      </c>
    </row>
    <row r="32" spans="1:4" ht="13.15" hidden="1" customHeight="1" x14ac:dyDescent="0.2">
      <c r="A32" s="824"/>
      <c r="B32" s="763" t="s">
        <v>799</v>
      </c>
      <c r="C32" s="763" t="s">
        <v>1484</v>
      </c>
      <c r="D32" s="763" t="s">
        <v>1485</v>
      </c>
    </row>
    <row r="33" spans="1:4" ht="26.45" hidden="1" customHeight="1" x14ac:dyDescent="0.2">
      <c r="A33" s="824"/>
      <c r="B33" s="763" t="s">
        <v>183</v>
      </c>
      <c r="C33" s="763" t="s">
        <v>1486</v>
      </c>
      <c r="D33" s="763" t="s">
        <v>1485</v>
      </c>
    </row>
    <row r="34" spans="1:4" ht="26.45" hidden="1" customHeight="1" x14ac:dyDescent="0.2">
      <c r="A34" s="824"/>
      <c r="B34" s="763" t="s">
        <v>749</v>
      </c>
      <c r="C34" s="763" t="s">
        <v>1496</v>
      </c>
      <c r="D34" s="763" t="s">
        <v>1495</v>
      </c>
    </row>
    <row r="35" spans="1:4" ht="26.45" hidden="1" customHeight="1" x14ac:dyDescent="0.2">
      <c r="A35" s="824"/>
      <c r="B35" s="765" t="s">
        <v>187</v>
      </c>
      <c r="C35" s="765" t="s">
        <v>782</v>
      </c>
      <c r="D35" s="765" t="s">
        <v>783</v>
      </c>
    </row>
    <row r="36" spans="1:4" ht="26.45" hidden="1" customHeight="1" x14ac:dyDescent="0.2">
      <c r="A36" s="824"/>
      <c r="B36" s="764" t="s">
        <v>188</v>
      </c>
      <c r="C36" s="764" t="s">
        <v>795</v>
      </c>
      <c r="D36" s="764" t="s">
        <v>1488</v>
      </c>
    </row>
    <row r="37" spans="1:4" ht="26.45" hidden="1" customHeight="1" x14ac:dyDescent="0.2">
      <c r="A37" s="824"/>
      <c r="B37" s="763" t="s">
        <v>743</v>
      </c>
      <c r="C37" s="763" t="s">
        <v>1489</v>
      </c>
      <c r="D37" s="763" t="s">
        <v>1490</v>
      </c>
    </row>
    <row r="38" spans="1:4" ht="26.45" hidden="1" customHeight="1" x14ac:dyDescent="0.2">
      <c r="A38" s="824">
        <v>2018</v>
      </c>
      <c r="B38" s="765" t="s">
        <v>187</v>
      </c>
      <c r="C38" s="765" t="s">
        <v>1492</v>
      </c>
      <c r="D38" s="765" t="s">
        <v>1493</v>
      </c>
    </row>
    <row r="39" spans="1:4" ht="13.15" hidden="1" customHeight="1" x14ac:dyDescent="0.2">
      <c r="A39" s="824"/>
      <c r="B39" s="764" t="s">
        <v>187</v>
      </c>
      <c r="C39" s="764" t="s">
        <v>1506</v>
      </c>
      <c r="D39" s="764" t="s">
        <v>1507</v>
      </c>
    </row>
    <row r="40" spans="1:4" ht="13.15" hidden="1" customHeight="1" x14ac:dyDescent="0.2">
      <c r="A40" s="824"/>
      <c r="B40" s="764" t="s">
        <v>188</v>
      </c>
      <c r="C40" s="764" t="s">
        <v>1522</v>
      </c>
      <c r="D40" s="764" t="s">
        <v>1523</v>
      </c>
    </row>
    <row r="41" spans="1:4" ht="26.45" hidden="1" customHeight="1" x14ac:dyDescent="0.2">
      <c r="A41" s="824"/>
      <c r="B41" s="763" t="s">
        <v>743</v>
      </c>
      <c r="C41" s="763" t="s">
        <v>1497</v>
      </c>
      <c r="D41" s="763" t="s">
        <v>1498</v>
      </c>
    </row>
    <row r="42" spans="1:4" ht="26.45" hidden="1" customHeight="1" x14ac:dyDescent="0.2">
      <c r="A42" s="824"/>
      <c r="B42" s="763" t="s">
        <v>743</v>
      </c>
      <c r="C42" s="763" t="s">
        <v>1518</v>
      </c>
      <c r="D42" s="763" t="s">
        <v>1519</v>
      </c>
    </row>
    <row r="43" spans="1:4" ht="26.45" hidden="1" customHeight="1" x14ac:dyDescent="0.2">
      <c r="A43" s="824"/>
      <c r="B43" s="764" t="s">
        <v>780</v>
      </c>
      <c r="C43" s="764" t="s">
        <v>1499</v>
      </c>
      <c r="D43" s="764" t="s">
        <v>1500</v>
      </c>
    </row>
    <row r="44" spans="1:4" ht="26.45" hidden="1" customHeight="1" x14ac:dyDescent="0.2">
      <c r="A44" s="824"/>
      <c r="B44" s="764" t="s">
        <v>1503</v>
      </c>
      <c r="C44" s="764" t="s">
        <v>1504</v>
      </c>
      <c r="D44" s="764" t="s">
        <v>1505</v>
      </c>
    </row>
    <row r="45" spans="1:4" ht="13.15" hidden="1" customHeight="1" x14ac:dyDescent="0.2">
      <c r="A45" s="824"/>
      <c r="B45" s="764" t="s">
        <v>1503</v>
      </c>
      <c r="C45" s="772" t="s">
        <v>1544</v>
      </c>
      <c r="D45" s="764" t="s">
        <v>1510</v>
      </c>
    </row>
    <row r="46" spans="1:4" ht="39.6" hidden="1" customHeight="1" x14ac:dyDescent="0.2">
      <c r="A46" s="824"/>
      <c r="B46" s="764" t="s">
        <v>614</v>
      </c>
      <c r="C46" s="764" t="s">
        <v>1508</v>
      </c>
      <c r="D46" s="764" t="s">
        <v>1509</v>
      </c>
    </row>
    <row r="47" spans="1:4" ht="13.15" hidden="1" customHeight="1" x14ac:dyDescent="0.2">
      <c r="A47" s="824"/>
      <c r="B47" s="763" t="s">
        <v>799</v>
      </c>
      <c r="C47" s="763" t="s">
        <v>1513</v>
      </c>
      <c r="D47" s="763" t="s">
        <v>1514</v>
      </c>
    </row>
    <row r="48" spans="1:4" ht="13.15" hidden="1" customHeight="1" x14ac:dyDescent="0.2">
      <c r="A48" s="824"/>
      <c r="B48" s="763" t="s">
        <v>799</v>
      </c>
      <c r="C48" s="763" t="s">
        <v>1516</v>
      </c>
      <c r="D48" s="763" t="s">
        <v>1517</v>
      </c>
    </row>
    <row r="49" spans="1:4" ht="26.45" hidden="1" customHeight="1" x14ac:dyDescent="0.2">
      <c r="A49" s="824"/>
      <c r="B49" s="763" t="s">
        <v>183</v>
      </c>
      <c r="C49" s="763" t="s">
        <v>1515</v>
      </c>
      <c r="D49" s="763" t="s">
        <v>1514</v>
      </c>
    </row>
    <row r="50" spans="1:4" ht="26.45" hidden="1" customHeight="1" x14ac:dyDescent="0.2">
      <c r="A50" s="824"/>
      <c r="B50" s="766" t="s">
        <v>1475</v>
      </c>
      <c r="C50" s="766" t="s">
        <v>1524</v>
      </c>
      <c r="D50" s="766" t="s">
        <v>1525</v>
      </c>
    </row>
    <row r="51" spans="1:4" ht="13.15" hidden="1" customHeight="1" x14ac:dyDescent="0.2">
      <c r="A51" s="824"/>
      <c r="B51" s="761" t="s">
        <v>1527</v>
      </c>
      <c r="C51" s="761" t="s">
        <v>1528</v>
      </c>
      <c r="D51" s="761" t="s">
        <v>1529</v>
      </c>
    </row>
    <row r="52" spans="1:4" ht="39.6" hidden="1" customHeight="1" x14ac:dyDescent="0.2">
      <c r="A52" s="824"/>
      <c r="B52" s="761" t="s">
        <v>188</v>
      </c>
      <c r="C52" s="761" t="s">
        <v>1531</v>
      </c>
      <c r="D52" s="761" t="s">
        <v>1532</v>
      </c>
    </row>
    <row r="53" spans="1:4" ht="26.45" hidden="1" customHeight="1" x14ac:dyDescent="0.2">
      <c r="A53" s="824">
        <v>2019</v>
      </c>
      <c r="B53" s="767" t="s">
        <v>186</v>
      </c>
      <c r="C53" s="767" t="s">
        <v>1533</v>
      </c>
      <c r="D53" s="767" t="s">
        <v>1534</v>
      </c>
    </row>
    <row r="54" spans="1:4" ht="26.45" hidden="1" customHeight="1" x14ac:dyDescent="0.2">
      <c r="A54" s="824"/>
      <c r="B54" s="767" t="s">
        <v>186</v>
      </c>
      <c r="C54" s="761" t="s">
        <v>1535</v>
      </c>
      <c r="D54" s="761" t="s">
        <v>1536</v>
      </c>
    </row>
    <row r="55" spans="1:4" ht="26.45" hidden="1" customHeight="1" x14ac:dyDescent="0.2">
      <c r="A55" s="824"/>
      <c r="B55" s="767" t="s">
        <v>186</v>
      </c>
      <c r="C55" s="761" t="s">
        <v>1537</v>
      </c>
      <c r="D55" s="761" t="s">
        <v>1538</v>
      </c>
    </row>
    <row r="56" spans="1:4" ht="13.15" hidden="1" customHeight="1" x14ac:dyDescent="0.2">
      <c r="A56" s="824"/>
      <c r="B56" s="761" t="s">
        <v>188</v>
      </c>
      <c r="C56" s="761" t="s">
        <v>1539</v>
      </c>
      <c r="D56" s="761" t="s">
        <v>1542</v>
      </c>
    </row>
    <row r="57" spans="1:4" ht="26.45" hidden="1" customHeight="1" x14ac:dyDescent="0.2">
      <c r="A57" s="824"/>
      <c r="B57" s="761" t="s">
        <v>188</v>
      </c>
      <c r="C57" s="761" t="s">
        <v>1541</v>
      </c>
      <c r="D57" s="761" t="s">
        <v>1543</v>
      </c>
    </row>
    <row r="58" spans="1:4" ht="26.45" hidden="1" customHeight="1" x14ac:dyDescent="0.2">
      <c r="A58" s="824"/>
      <c r="B58" s="761" t="s">
        <v>188</v>
      </c>
      <c r="C58" s="761" t="s">
        <v>1546</v>
      </c>
      <c r="D58" s="761" t="s">
        <v>1550</v>
      </c>
    </row>
    <row r="59" spans="1:4" ht="26.45" hidden="1" customHeight="1" x14ac:dyDescent="0.2">
      <c r="A59" s="824"/>
      <c r="B59" s="761" t="s">
        <v>614</v>
      </c>
      <c r="C59" s="761" t="s">
        <v>1555</v>
      </c>
      <c r="D59" s="761" t="s">
        <v>1550</v>
      </c>
    </row>
    <row r="60" spans="1:4" ht="39.6" hidden="1" customHeight="1" x14ac:dyDescent="0.2">
      <c r="A60" s="824"/>
      <c r="B60" s="761" t="s">
        <v>187</v>
      </c>
      <c r="C60" s="761" t="s">
        <v>1559</v>
      </c>
      <c r="D60" s="761" t="s">
        <v>1553</v>
      </c>
    </row>
    <row r="61" spans="1:4" ht="26.45" hidden="1" customHeight="1" x14ac:dyDescent="0.2">
      <c r="A61" s="824"/>
      <c r="B61" s="761" t="s">
        <v>188</v>
      </c>
      <c r="C61" s="761" t="s">
        <v>1547</v>
      </c>
      <c r="D61" s="761" t="s">
        <v>1548</v>
      </c>
    </row>
    <row r="62" spans="1:4" ht="26.45" hidden="1" customHeight="1" x14ac:dyDescent="0.2">
      <c r="A62" s="824"/>
      <c r="B62" s="766" t="s">
        <v>1475</v>
      </c>
      <c r="C62" s="766" t="s">
        <v>1524</v>
      </c>
      <c r="D62" s="761" t="s">
        <v>1548</v>
      </c>
    </row>
    <row r="63" spans="1:4" ht="39.6" hidden="1" customHeight="1" x14ac:dyDescent="0.2">
      <c r="A63" s="824"/>
      <c r="B63" s="761" t="s">
        <v>188</v>
      </c>
      <c r="C63" s="761" t="s">
        <v>1556</v>
      </c>
      <c r="D63" s="761" t="s">
        <v>1549</v>
      </c>
    </row>
    <row r="64" spans="1:4" ht="13.15" hidden="1" customHeight="1" x14ac:dyDescent="0.2">
      <c r="A64" s="824"/>
      <c r="B64" s="761" t="s">
        <v>613</v>
      </c>
      <c r="C64" s="761" t="s">
        <v>1551</v>
      </c>
      <c r="D64" s="761" t="s">
        <v>1552</v>
      </c>
    </row>
    <row r="65" spans="1:5" ht="13.15" hidden="1" customHeight="1" x14ac:dyDescent="0.2">
      <c r="A65" s="824"/>
      <c r="B65" s="761" t="s">
        <v>188</v>
      </c>
      <c r="C65" s="761" t="s">
        <v>1557</v>
      </c>
      <c r="D65" s="761" t="s">
        <v>1558</v>
      </c>
    </row>
    <row r="66" spans="1:5" ht="13.15" hidden="1" customHeight="1" x14ac:dyDescent="0.2">
      <c r="A66" s="824"/>
      <c r="B66" s="777" t="s">
        <v>1562</v>
      </c>
      <c r="C66" s="778"/>
      <c r="D66" s="778"/>
    </row>
    <row r="67" spans="1:5" ht="13.15" hidden="1" customHeight="1" x14ac:dyDescent="0.2">
      <c r="A67" s="824"/>
      <c r="B67" s="763" t="s">
        <v>799</v>
      </c>
      <c r="C67" s="761" t="s">
        <v>1563</v>
      </c>
      <c r="D67" s="761" t="s">
        <v>1564</v>
      </c>
    </row>
    <row r="68" spans="1:5" ht="13.15" hidden="1" customHeight="1" x14ac:dyDescent="0.2">
      <c r="A68" s="824"/>
      <c r="B68" s="763" t="s">
        <v>799</v>
      </c>
      <c r="C68" s="761" t="s">
        <v>1565</v>
      </c>
      <c r="D68" s="761" t="s">
        <v>1566</v>
      </c>
    </row>
    <row r="69" spans="1:5" ht="26.45" hidden="1" customHeight="1" x14ac:dyDescent="0.2">
      <c r="A69" s="824"/>
      <c r="B69" s="761" t="s">
        <v>749</v>
      </c>
      <c r="C69" s="761" t="s">
        <v>1567</v>
      </c>
      <c r="D69" s="761" t="s">
        <v>1568</v>
      </c>
    </row>
    <row r="70" spans="1:5" ht="13.15" hidden="1" customHeight="1" x14ac:dyDescent="0.2">
      <c r="A70" s="825">
        <v>43966</v>
      </c>
      <c r="B70" s="761" t="s">
        <v>799</v>
      </c>
      <c r="C70" s="761" t="s">
        <v>1570</v>
      </c>
      <c r="D70" s="761" t="s">
        <v>1571</v>
      </c>
      <c r="E70" s="826"/>
    </row>
    <row r="71" spans="1:5" ht="26.45" hidden="1" customHeight="1" x14ac:dyDescent="0.2">
      <c r="A71" s="824"/>
      <c r="B71" s="767" t="s">
        <v>186</v>
      </c>
      <c r="C71" s="761" t="s">
        <v>1489</v>
      </c>
      <c r="D71" s="761" t="s">
        <v>1573</v>
      </c>
      <c r="E71" s="826"/>
    </row>
    <row r="72" spans="1:5" ht="26.45" hidden="1" customHeight="1" x14ac:dyDescent="0.2">
      <c r="A72" s="824"/>
      <c r="B72" s="761" t="s">
        <v>188</v>
      </c>
      <c r="C72" s="761" t="s">
        <v>1547</v>
      </c>
      <c r="D72" s="761" t="s">
        <v>1572</v>
      </c>
      <c r="E72" s="826"/>
    </row>
    <row r="73" spans="1:5" ht="26.45" hidden="1" customHeight="1" x14ac:dyDescent="0.2">
      <c r="A73" s="824"/>
      <c r="B73" s="766" t="s">
        <v>1475</v>
      </c>
      <c r="C73" s="766" t="s">
        <v>1524</v>
      </c>
      <c r="D73" s="761" t="s">
        <v>1572</v>
      </c>
      <c r="E73" s="826"/>
    </row>
    <row r="74" spans="1:5" ht="13.15" hidden="1" customHeight="1" x14ac:dyDescent="0.2">
      <c r="A74" s="824"/>
      <c r="B74" s="766" t="s">
        <v>614</v>
      </c>
      <c r="C74" s="766" t="s">
        <v>1574</v>
      </c>
      <c r="D74" s="761" t="s">
        <v>1575</v>
      </c>
      <c r="E74" s="826"/>
    </row>
    <row r="75" spans="1:5" ht="26.45" hidden="1" customHeight="1" x14ac:dyDescent="0.2">
      <c r="A75" s="824"/>
      <c r="B75" s="761" t="s">
        <v>186</v>
      </c>
      <c r="C75" s="761" t="s">
        <v>1584</v>
      </c>
      <c r="D75" s="773" t="s">
        <v>1585</v>
      </c>
      <c r="E75" s="826"/>
    </row>
    <row r="76" spans="1:5" ht="26.45" hidden="1" customHeight="1" x14ac:dyDescent="0.2">
      <c r="A76" s="824"/>
      <c r="B76" s="761" t="s">
        <v>188</v>
      </c>
      <c r="C76" s="774" t="s">
        <v>1576</v>
      </c>
      <c r="D76" s="761" t="s">
        <v>1580</v>
      </c>
      <c r="E76" s="826"/>
    </row>
    <row r="77" spans="1:5" ht="26.45" hidden="1" customHeight="1" x14ac:dyDescent="0.2">
      <c r="A77" s="824"/>
      <c r="B77" s="761" t="s">
        <v>187</v>
      </c>
      <c r="C77" s="774" t="s">
        <v>1586</v>
      </c>
      <c r="D77" s="761" t="s">
        <v>1587</v>
      </c>
      <c r="E77" s="826"/>
    </row>
    <row r="78" spans="1:5" ht="39.6" hidden="1" customHeight="1" x14ac:dyDescent="0.2">
      <c r="A78" s="824"/>
      <c r="B78" s="761" t="s">
        <v>1579</v>
      </c>
      <c r="C78" s="774" t="s">
        <v>1589</v>
      </c>
      <c r="D78" s="774" t="s">
        <v>1577</v>
      </c>
      <c r="E78" s="826"/>
    </row>
    <row r="79" spans="1:5" ht="13.15" hidden="1" customHeight="1" x14ac:dyDescent="0.2">
      <c r="A79" s="824"/>
      <c r="B79" s="761" t="s">
        <v>187</v>
      </c>
      <c r="C79" s="774" t="s">
        <v>1588</v>
      </c>
      <c r="D79" s="774" t="s">
        <v>1578</v>
      </c>
      <c r="E79" s="826"/>
    </row>
    <row r="80" spans="1:5" ht="39.6" hidden="1" customHeight="1" x14ac:dyDescent="0.2">
      <c r="A80" s="824"/>
      <c r="B80" s="761" t="s">
        <v>1581</v>
      </c>
      <c r="C80" s="774" t="s">
        <v>1582</v>
      </c>
      <c r="D80" s="774" t="s">
        <v>1583</v>
      </c>
      <c r="E80" s="826"/>
    </row>
    <row r="81" spans="1:5" ht="93" hidden="1" customHeight="1" thickBot="1" x14ac:dyDescent="0.25">
      <c r="A81" s="827"/>
      <c r="B81" s="768" t="s">
        <v>760</v>
      </c>
      <c r="C81" s="775" t="s">
        <v>1593</v>
      </c>
      <c r="D81" s="768" t="s">
        <v>1592</v>
      </c>
      <c r="E81" s="826"/>
    </row>
    <row r="82" spans="1:5" x14ac:dyDescent="0.2">
      <c r="A82" s="828">
        <v>44265</v>
      </c>
      <c r="B82" s="769" t="s">
        <v>183</v>
      </c>
      <c r="C82" s="769" t="s">
        <v>1596</v>
      </c>
      <c r="D82" s="769" t="s">
        <v>1595</v>
      </c>
    </row>
    <row r="83" spans="1:5" x14ac:dyDescent="0.2">
      <c r="A83" s="824"/>
      <c r="B83" s="761" t="s">
        <v>183</v>
      </c>
      <c r="C83" s="761" t="s">
        <v>1597</v>
      </c>
      <c r="D83" s="761" t="s">
        <v>1595</v>
      </c>
    </row>
    <row r="84" spans="1:5" x14ac:dyDescent="0.2">
      <c r="A84" s="824"/>
      <c r="B84" s="761" t="s">
        <v>185</v>
      </c>
      <c r="C84" s="761" t="s">
        <v>1603</v>
      </c>
      <c r="D84" s="761" t="s">
        <v>1604</v>
      </c>
    </row>
    <row r="85" spans="1:5" x14ac:dyDescent="0.2">
      <c r="A85" s="824"/>
      <c r="B85" s="761" t="s">
        <v>187</v>
      </c>
      <c r="C85" s="761" t="s">
        <v>1606</v>
      </c>
      <c r="D85" s="761" t="s">
        <v>1607</v>
      </c>
    </row>
    <row r="86" spans="1:5" x14ac:dyDescent="0.2">
      <c r="A86" s="824"/>
      <c r="B86" s="761" t="s">
        <v>187</v>
      </c>
      <c r="C86" s="761" t="s">
        <v>1608</v>
      </c>
      <c r="D86" s="761" t="s">
        <v>1610</v>
      </c>
    </row>
    <row r="87" spans="1:5" x14ac:dyDescent="0.2">
      <c r="A87" s="824"/>
      <c r="B87" s="761" t="s">
        <v>749</v>
      </c>
      <c r="C87" s="761" t="s">
        <v>1605</v>
      </c>
      <c r="D87" s="761" t="s">
        <v>1609</v>
      </c>
    </row>
    <row r="88" spans="1:5" ht="27" customHeight="1" x14ac:dyDescent="0.2">
      <c r="A88" s="824"/>
      <c r="B88" s="761" t="s">
        <v>1615</v>
      </c>
      <c r="C88" s="761" t="s">
        <v>1616</v>
      </c>
      <c r="D88" s="761" t="s">
        <v>1617</v>
      </c>
    </row>
    <row r="89" spans="1:5" ht="41.45" customHeight="1" x14ac:dyDescent="0.2">
      <c r="A89" s="824"/>
      <c r="B89" s="761" t="s">
        <v>183</v>
      </c>
      <c r="C89" s="761" t="s">
        <v>1618</v>
      </c>
      <c r="D89" s="761" t="s">
        <v>1617</v>
      </c>
    </row>
    <row r="90" spans="1:5" ht="25.5" x14ac:dyDescent="0.2">
      <c r="A90" s="824"/>
      <c r="B90" s="761" t="s">
        <v>749</v>
      </c>
      <c r="C90" s="761" t="s">
        <v>1619</v>
      </c>
      <c r="D90" s="761" t="s">
        <v>1620</v>
      </c>
    </row>
    <row r="91" spans="1:5" x14ac:dyDescent="0.2">
      <c r="A91" s="829"/>
      <c r="B91" s="761" t="s">
        <v>1622</v>
      </c>
      <c r="C91" s="761" t="s">
        <v>1623</v>
      </c>
      <c r="D91" s="761" t="s">
        <v>1624</v>
      </c>
    </row>
    <row r="92" spans="1:5" ht="25.5" x14ac:dyDescent="0.2">
      <c r="A92" s="825">
        <v>44351</v>
      </c>
      <c r="B92" s="761" t="s">
        <v>1625</v>
      </c>
      <c r="C92" s="761" t="s">
        <v>1626</v>
      </c>
      <c r="D92" s="761" t="s">
        <v>1627</v>
      </c>
    </row>
    <row r="93" spans="1:5" x14ac:dyDescent="0.2">
      <c r="A93" s="825"/>
      <c r="B93" s="761" t="s">
        <v>1472</v>
      </c>
      <c r="C93" s="761" t="s">
        <v>1626</v>
      </c>
      <c r="D93" s="761" t="s">
        <v>1636</v>
      </c>
    </row>
    <row r="94" spans="1:5" x14ac:dyDescent="0.2">
      <c r="A94" s="825"/>
      <c r="B94" s="761" t="s">
        <v>749</v>
      </c>
      <c r="C94" s="761" t="s">
        <v>1649</v>
      </c>
      <c r="D94" s="761" t="s">
        <v>1637</v>
      </c>
    </row>
    <row r="95" spans="1:5" ht="25.5" x14ac:dyDescent="0.2">
      <c r="A95" s="825"/>
      <c r="B95" s="761" t="s">
        <v>187</v>
      </c>
      <c r="C95" s="761" t="s">
        <v>1626</v>
      </c>
      <c r="D95" s="761" t="s">
        <v>1638</v>
      </c>
    </row>
    <row r="96" spans="1:5" ht="14.45" customHeight="1" x14ac:dyDescent="0.2">
      <c r="A96" s="825"/>
      <c r="B96" s="761" t="s">
        <v>188</v>
      </c>
      <c r="C96" s="761" t="s">
        <v>1547</v>
      </c>
      <c r="D96" s="761" t="s">
        <v>1639</v>
      </c>
    </row>
    <row r="97" spans="1:4" x14ac:dyDescent="0.2">
      <c r="A97" s="825"/>
      <c r="B97" s="766" t="s">
        <v>1475</v>
      </c>
      <c r="C97" s="766" t="s">
        <v>1524</v>
      </c>
      <c r="D97" s="761" t="s">
        <v>1639</v>
      </c>
    </row>
    <row r="98" spans="1:4" ht="25.5" x14ac:dyDescent="0.2">
      <c r="A98" s="825"/>
      <c r="B98" s="761" t="s">
        <v>188</v>
      </c>
      <c r="C98" s="761" t="s">
        <v>1640</v>
      </c>
      <c r="D98" s="761" t="s">
        <v>1641</v>
      </c>
    </row>
    <row r="99" spans="1:4" x14ac:dyDescent="0.2">
      <c r="A99" s="825"/>
      <c r="B99" s="764" t="s">
        <v>1503</v>
      </c>
      <c r="C99" s="772" t="s">
        <v>1642</v>
      </c>
      <c r="D99" s="772" t="s">
        <v>1643</v>
      </c>
    </row>
    <row r="100" spans="1:4" x14ac:dyDescent="0.2">
      <c r="A100" s="825"/>
      <c r="B100" s="761" t="s">
        <v>1615</v>
      </c>
      <c r="C100" s="761" t="s">
        <v>1645</v>
      </c>
      <c r="D100" s="761" t="s">
        <v>1646</v>
      </c>
    </row>
    <row r="101" spans="1:4" ht="25.5" x14ac:dyDescent="0.2">
      <c r="A101" s="825"/>
      <c r="B101" s="761" t="s">
        <v>185</v>
      </c>
      <c r="C101" s="761" t="s">
        <v>1647</v>
      </c>
      <c r="D101" s="761" t="s">
        <v>1648</v>
      </c>
    </row>
    <row r="102" spans="1:4" x14ac:dyDescent="0.2">
      <c r="A102" s="825"/>
      <c r="B102" s="761" t="s">
        <v>749</v>
      </c>
      <c r="C102" s="761" t="s">
        <v>1650</v>
      </c>
      <c r="D102" s="761" t="s">
        <v>1651</v>
      </c>
    </row>
    <row r="103" spans="1:4" ht="25.5" x14ac:dyDescent="0.2">
      <c r="A103" s="825"/>
      <c r="B103" s="761" t="s">
        <v>613</v>
      </c>
      <c r="C103" s="761" t="s">
        <v>1652</v>
      </c>
      <c r="D103" s="761" t="s">
        <v>1653</v>
      </c>
    </row>
    <row r="104" spans="1:4" ht="25.5" x14ac:dyDescent="0.2">
      <c r="A104" s="825"/>
      <c r="B104" s="761" t="s">
        <v>749</v>
      </c>
      <c r="C104" s="761" t="s">
        <v>1654</v>
      </c>
      <c r="D104" s="761" t="s">
        <v>1655</v>
      </c>
    </row>
    <row r="105" spans="1:4" ht="28.15" customHeight="1" x14ac:dyDescent="0.2">
      <c r="A105" s="825"/>
      <c r="B105" s="761" t="s">
        <v>185</v>
      </c>
      <c r="C105" s="761" t="s">
        <v>1656</v>
      </c>
      <c r="D105" s="761" t="s">
        <v>1657</v>
      </c>
    </row>
    <row r="106" spans="1:4" ht="25.5" x14ac:dyDescent="0.2">
      <c r="A106" s="825"/>
      <c r="B106" s="761" t="s">
        <v>185</v>
      </c>
      <c r="C106" s="761" t="s">
        <v>1658</v>
      </c>
      <c r="D106" s="761" t="s">
        <v>1659</v>
      </c>
    </row>
    <row r="107" spans="1:4" ht="39.6" customHeight="1" x14ac:dyDescent="0.2">
      <c r="A107" s="830">
        <v>44361</v>
      </c>
      <c r="B107" s="761" t="s">
        <v>1503</v>
      </c>
      <c r="C107" s="761" t="s">
        <v>1660</v>
      </c>
      <c r="D107" s="761" t="s">
        <v>1661</v>
      </c>
    </row>
    <row r="108" spans="1:4" ht="12" customHeight="1" x14ac:dyDescent="0.2">
      <c r="A108" s="830"/>
      <c r="B108" s="761" t="s">
        <v>749</v>
      </c>
      <c r="C108" s="761" t="s">
        <v>1662</v>
      </c>
      <c r="D108" s="761" t="s">
        <v>1663</v>
      </c>
    </row>
    <row r="109" spans="1:4" x14ac:dyDescent="0.2">
      <c r="A109" s="830"/>
      <c r="B109" s="761" t="s">
        <v>1664</v>
      </c>
      <c r="C109" s="761" t="s">
        <v>1665</v>
      </c>
      <c r="D109" s="761" t="s">
        <v>1666</v>
      </c>
    </row>
    <row r="110" spans="1:4" ht="40.15" customHeight="1" x14ac:dyDescent="0.2">
      <c r="A110" s="830">
        <v>44372</v>
      </c>
      <c r="B110" s="761" t="s">
        <v>1615</v>
      </c>
      <c r="C110" s="761" t="s">
        <v>1667</v>
      </c>
      <c r="D110" s="761" t="s">
        <v>1661</v>
      </c>
    </row>
    <row r="111" spans="1:4" ht="38.25" x14ac:dyDescent="0.2">
      <c r="A111" s="830"/>
      <c r="B111" s="761" t="s">
        <v>186</v>
      </c>
      <c r="C111" s="761" t="s">
        <v>1668</v>
      </c>
      <c r="D111" s="761" t="s">
        <v>1669</v>
      </c>
    </row>
    <row r="112" spans="1:4" ht="13.5" thickBot="1" x14ac:dyDescent="0.25">
      <c r="A112" s="831"/>
      <c r="B112" s="768" t="s">
        <v>1664</v>
      </c>
      <c r="C112" s="768" t="s">
        <v>1670</v>
      </c>
      <c r="D112" s="768" t="s">
        <v>1666</v>
      </c>
    </row>
    <row r="113" spans="1:4" ht="25.5" x14ac:dyDescent="0.2">
      <c r="A113" s="832" t="s">
        <v>1693</v>
      </c>
      <c r="B113" s="769" t="s">
        <v>183</v>
      </c>
      <c r="C113" s="779" t="s">
        <v>1694</v>
      </c>
      <c r="D113" s="769" t="s">
        <v>1695</v>
      </c>
    </row>
    <row r="114" spans="1:4" ht="25.5" x14ac:dyDescent="0.2">
      <c r="A114" s="833"/>
      <c r="B114" s="761" t="s">
        <v>1615</v>
      </c>
      <c r="C114" s="761" t="s">
        <v>1696</v>
      </c>
      <c r="D114" s="761" t="s">
        <v>1697</v>
      </c>
    </row>
    <row r="115" spans="1:4" x14ac:dyDescent="0.2">
      <c r="A115" s="834">
        <v>44747</v>
      </c>
      <c r="B115" s="761" t="s">
        <v>1503</v>
      </c>
      <c r="C115" s="761" t="s">
        <v>1684</v>
      </c>
      <c r="D115" s="761" t="s">
        <v>1685</v>
      </c>
    </row>
    <row r="116" spans="1:4" x14ac:dyDescent="0.2">
      <c r="A116" s="825"/>
      <c r="B116" s="761" t="s">
        <v>1503</v>
      </c>
      <c r="C116" s="761" t="s">
        <v>1683</v>
      </c>
      <c r="D116" s="761" t="s">
        <v>1686</v>
      </c>
    </row>
    <row r="117" spans="1:4" x14ac:dyDescent="0.2">
      <c r="A117" s="825"/>
      <c r="B117" s="761" t="s">
        <v>1503</v>
      </c>
      <c r="C117" s="761" t="s">
        <v>1687</v>
      </c>
      <c r="D117" s="761" t="s">
        <v>1688</v>
      </c>
    </row>
    <row r="118" spans="1:4" x14ac:dyDescent="0.2">
      <c r="A118" s="825"/>
      <c r="B118" s="761" t="s">
        <v>614</v>
      </c>
      <c r="C118" s="761" t="s">
        <v>1691</v>
      </c>
      <c r="D118" s="761" t="s">
        <v>1692</v>
      </c>
    </row>
    <row r="119" spans="1:4" x14ac:dyDescent="0.2">
      <c r="A119" s="825"/>
      <c r="B119" s="761" t="s">
        <v>1615</v>
      </c>
      <c r="C119" s="761" t="s">
        <v>1724</v>
      </c>
      <c r="D119" s="761" t="s">
        <v>1725</v>
      </c>
    </row>
    <row r="120" spans="1:4" x14ac:dyDescent="0.2">
      <c r="A120" s="825"/>
      <c r="B120" s="761" t="s">
        <v>188</v>
      </c>
      <c r="C120" s="761" t="s">
        <v>1547</v>
      </c>
      <c r="D120" s="761" t="s">
        <v>1726</v>
      </c>
    </row>
    <row r="121" spans="1:4" x14ac:dyDescent="0.2">
      <c r="A121" s="825"/>
      <c r="B121" s="766" t="s">
        <v>1475</v>
      </c>
      <c r="C121" s="766" t="s">
        <v>1524</v>
      </c>
      <c r="D121" s="761" t="s">
        <v>1726</v>
      </c>
    </row>
    <row r="122" spans="1:4" ht="13.5" thickBot="1" x14ac:dyDescent="0.25">
      <c r="A122" s="835"/>
      <c r="B122" s="768" t="s">
        <v>743</v>
      </c>
      <c r="C122" s="768" t="s">
        <v>1727</v>
      </c>
      <c r="D122" s="768" t="s">
        <v>1728</v>
      </c>
    </row>
    <row r="123" spans="1:4" ht="26.25" thickBot="1" x14ac:dyDescent="0.25">
      <c r="A123" s="836" t="s">
        <v>1757</v>
      </c>
      <c r="B123" s="837" t="s">
        <v>1615</v>
      </c>
      <c r="C123" s="837" t="s">
        <v>1758</v>
      </c>
      <c r="D123" s="838" t="s">
        <v>1759</v>
      </c>
    </row>
    <row r="124" spans="1:4" x14ac:dyDescent="0.2">
      <c r="A124" s="809" t="s">
        <v>1774</v>
      </c>
      <c r="B124" s="788" t="s">
        <v>188</v>
      </c>
      <c r="C124" s="788" t="s">
        <v>1729</v>
      </c>
      <c r="D124" s="789" t="s">
        <v>1738</v>
      </c>
    </row>
    <row r="125" spans="1:4" x14ac:dyDescent="0.2">
      <c r="A125" s="810"/>
      <c r="B125" s="776" t="s">
        <v>188</v>
      </c>
      <c r="C125" s="776" t="s">
        <v>1732</v>
      </c>
      <c r="D125" s="790" t="s">
        <v>1731</v>
      </c>
    </row>
    <row r="126" spans="1:4" x14ac:dyDescent="0.2">
      <c r="A126" s="810"/>
      <c r="B126" s="776" t="s">
        <v>749</v>
      </c>
      <c r="C126" s="791" t="s">
        <v>1739</v>
      </c>
      <c r="D126" s="792" t="s">
        <v>1740</v>
      </c>
    </row>
    <row r="127" spans="1:4" x14ac:dyDescent="0.2">
      <c r="A127" s="810"/>
      <c r="B127" s="776" t="s">
        <v>188</v>
      </c>
      <c r="C127" s="791" t="s">
        <v>1742</v>
      </c>
      <c r="D127" s="792" t="s">
        <v>1741</v>
      </c>
    </row>
    <row r="128" spans="1:4" x14ac:dyDescent="0.2">
      <c r="A128" s="810"/>
      <c r="B128" s="776" t="s">
        <v>1475</v>
      </c>
      <c r="C128" s="791" t="s">
        <v>1744</v>
      </c>
      <c r="D128" s="790" t="s">
        <v>1746</v>
      </c>
    </row>
    <row r="129" spans="1:4" x14ac:dyDescent="0.2">
      <c r="A129" s="810"/>
      <c r="B129" s="776" t="s">
        <v>1615</v>
      </c>
      <c r="C129" s="791" t="s">
        <v>1748</v>
      </c>
      <c r="D129" s="812" t="s">
        <v>1751</v>
      </c>
    </row>
    <row r="130" spans="1:4" x14ac:dyDescent="0.2">
      <c r="A130" s="810"/>
      <c r="B130" s="776" t="s">
        <v>1615</v>
      </c>
      <c r="C130" s="791" t="s">
        <v>1745</v>
      </c>
      <c r="D130" s="812" t="s">
        <v>1752</v>
      </c>
    </row>
    <row r="131" spans="1:4" x14ac:dyDescent="0.2">
      <c r="A131" s="810"/>
      <c r="B131" s="776" t="s">
        <v>1664</v>
      </c>
      <c r="C131" s="791" t="s">
        <v>1734</v>
      </c>
      <c r="D131" s="790" t="s">
        <v>1735</v>
      </c>
    </row>
    <row r="132" spans="1:4" ht="13.5" thickBot="1" x14ac:dyDescent="0.25">
      <c r="A132" s="811"/>
      <c r="B132" s="793" t="s">
        <v>1503</v>
      </c>
      <c r="C132" s="793" t="s">
        <v>1737</v>
      </c>
      <c r="D132" s="794" t="s">
        <v>1736</v>
      </c>
    </row>
    <row r="133" spans="1:4" x14ac:dyDescent="0.2">
      <c r="A133" s="809" t="s">
        <v>1775</v>
      </c>
      <c r="B133" s="788" t="s">
        <v>1615</v>
      </c>
      <c r="C133" s="847" t="s">
        <v>1761</v>
      </c>
      <c r="D133" s="789" t="s">
        <v>1725</v>
      </c>
    </row>
    <row r="134" spans="1:4" x14ac:dyDescent="0.2">
      <c r="A134" s="810"/>
      <c r="B134" s="776" t="s">
        <v>1615</v>
      </c>
      <c r="C134" s="776" t="s">
        <v>1762</v>
      </c>
      <c r="D134" s="790" t="s">
        <v>1725</v>
      </c>
    </row>
    <row r="135" spans="1:4" x14ac:dyDescent="0.2">
      <c r="A135" s="810"/>
      <c r="B135" s="776" t="s">
        <v>1772</v>
      </c>
      <c r="C135" s="776" t="s">
        <v>1776</v>
      </c>
      <c r="D135" s="790" t="s">
        <v>1773</v>
      </c>
    </row>
    <row r="136" spans="1:4" x14ac:dyDescent="0.2">
      <c r="A136" s="810"/>
      <c r="B136" s="776" t="s">
        <v>1503</v>
      </c>
      <c r="C136" s="776" t="s">
        <v>1763</v>
      </c>
      <c r="D136" s="790" t="s">
        <v>1764</v>
      </c>
    </row>
    <row r="137" spans="1:4" ht="13.5" thickBot="1" x14ac:dyDescent="0.25">
      <c r="A137" s="811"/>
      <c r="B137" s="793" t="s">
        <v>749</v>
      </c>
      <c r="C137" s="793" t="s">
        <v>1769</v>
      </c>
      <c r="D137" s="794" t="s">
        <v>1740</v>
      </c>
    </row>
    <row r="138" spans="1:4" x14ac:dyDescent="0.2">
      <c r="A138" s="809">
        <v>45513</v>
      </c>
      <c r="B138" s="788" t="s">
        <v>1615</v>
      </c>
      <c r="C138" s="847" t="s">
        <v>1782</v>
      </c>
      <c r="D138" s="789" t="s">
        <v>1725</v>
      </c>
    </row>
    <row r="139" spans="1:4" x14ac:dyDescent="0.2">
      <c r="A139" s="810"/>
      <c r="B139" s="776" t="s">
        <v>1615</v>
      </c>
      <c r="C139" s="776" t="s">
        <v>1762</v>
      </c>
      <c r="D139" s="790" t="s">
        <v>1725</v>
      </c>
    </row>
    <row r="140" spans="1:4" x14ac:dyDescent="0.2">
      <c r="A140" s="810"/>
      <c r="B140" s="776" t="s">
        <v>1772</v>
      </c>
      <c r="C140" s="776" t="s">
        <v>1783</v>
      </c>
      <c r="D140" s="790" t="s">
        <v>1773</v>
      </c>
    </row>
    <row r="141" spans="1:4" ht="13.5" thickBot="1" x14ac:dyDescent="0.25">
      <c r="A141" s="811"/>
      <c r="B141" s="793" t="s">
        <v>749</v>
      </c>
      <c r="C141" s="793" t="s">
        <v>1769</v>
      </c>
      <c r="D141" s="794" t="s">
        <v>1740</v>
      </c>
    </row>
    <row r="142" spans="1:4" x14ac:dyDescent="0.2">
      <c r="A142" s="809">
        <v>45873</v>
      </c>
      <c r="B142" s="788" t="s">
        <v>1615</v>
      </c>
      <c r="C142" s="788" t="s">
        <v>1789</v>
      </c>
      <c r="D142" s="789" t="s">
        <v>1725</v>
      </c>
    </row>
    <row r="143" spans="1:4" x14ac:dyDescent="0.2">
      <c r="A143" s="848"/>
      <c r="B143" s="776" t="s">
        <v>1615</v>
      </c>
      <c r="C143" s="776" t="s">
        <v>1762</v>
      </c>
      <c r="D143" s="790" t="s">
        <v>1725</v>
      </c>
    </row>
    <row r="144" spans="1:4" x14ac:dyDescent="0.2">
      <c r="A144" s="848"/>
      <c r="B144" s="776" t="s">
        <v>1772</v>
      </c>
      <c r="C144" s="776" t="s">
        <v>1790</v>
      </c>
      <c r="D144" s="790" t="s">
        <v>1725</v>
      </c>
    </row>
    <row r="145" spans="1:4" ht="13.5" thickBot="1" x14ac:dyDescent="0.25">
      <c r="A145" s="849"/>
      <c r="B145" s="793" t="s">
        <v>749</v>
      </c>
      <c r="C145" s="793" t="s">
        <v>1769</v>
      </c>
      <c r="D145" s="794" t="s">
        <v>1740</v>
      </c>
    </row>
    <row r="146" spans="1:4" x14ac:dyDescent="0.2">
      <c r="A146" s="808"/>
    </row>
    <row r="147" spans="1:4" x14ac:dyDescent="0.2">
      <c r="A147" s="808"/>
    </row>
    <row r="148" spans="1:4" x14ac:dyDescent="0.2">
      <c r="A148" s="808"/>
    </row>
    <row r="149" spans="1:4" x14ac:dyDescent="0.2">
      <c r="A149" s="808"/>
    </row>
    <row r="150" spans="1:4" x14ac:dyDescent="0.2">
      <c r="A150" s="839" t="s">
        <v>1749</v>
      </c>
    </row>
    <row r="151" spans="1:4" x14ac:dyDescent="0.2">
      <c r="A151" s="808"/>
    </row>
    <row r="152" spans="1:4" x14ac:dyDescent="0.2">
      <c r="A152" s="808"/>
    </row>
    <row r="153" spans="1:4" x14ac:dyDescent="0.2">
      <c r="A153" s="808"/>
    </row>
    <row r="154" spans="1:4" x14ac:dyDescent="0.2">
      <c r="A154" s="808"/>
    </row>
    <row r="155" spans="1:4" x14ac:dyDescent="0.2">
      <c r="A155" s="808"/>
    </row>
    <row r="156" spans="1:4" x14ac:dyDescent="0.2">
      <c r="A156" s="808"/>
    </row>
    <row r="157" spans="1:4" x14ac:dyDescent="0.2">
      <c r="A157" s="808"/>
    </row>
    <row r="158" spans="1:4" x14ac:dyDescent="0.2">
      <c r="A158" s="808"/>
    </row>
    <row r="159" spans="1:4" x14ac:dyDescent="0.2">
      <c r="A159" s="808"/>
    </row>
    <row r="160" spans="1:4" x14ac:dyDescent="0.2">
      <c r="A160" s="808"/>
    </row>
    <row r="161" spans="1:1" x14ac:dyDescent="0.2">
      <c r="A161" s="808"/>
    </row>
    <row r="162" spans="1:1" x14ac:dyDescent="0.2">
      <c r="A162" s="808"/>
    </row>
    <row r="163" spans="1:1" x14ac:dyDescent="0.2">
      <c r="A163" s="808"/>
    </row>
    <row r="164" spans="1:1" x14ac:dyDescent="0.2">
      <c r="A164" s="808"/>
    </row>
    <row r="165" spans="1:1" x14ac:dyDescent="0.2">
      <c r="A165" s="808"/>
    </row>
    <row r="166" spans="1:1" x14ac:dyDescent="0.2">
      <c r="A166" s="808"/>
    </row>
    <row r="167" spans="1:1" x14ac:dyDescent="0.2">
      <c r="A167" s="808"/>
    </row>
    <row r="168" spans="1:1" x14ac:dyDescent="0.2">
      <c r="A168" s="808"/>
    </row>
    <row r="169" spans="1:1" x14ac:dyDescent="0.2">
      <c r="A169" s="808"/>
    </row>
    <row r="170" spans="1:1" x14ac:dyDescent="0.2">
      <c r="A170" s="808"/>
    </row>
    <row r="171" spans="1:1" x14ac:dyDescent="0.2">
      <c r="A171" s="808"/>
    </row>
    <row r="172" spans="1:1" x14ac:dyDescent="0.2">
      <c r="A172" s="808"/>
    </row>
    <row r="173" spans="1:1" x14ac:dyDescent="0.2">
      <c r="A173" s="808"/>
    </row>
    <row r="174" spans="1:1" x14ac:dyDescent="0.2">
      <c r="A174" s="808"/>
    </row>
    <row r="175" spans="1:1" x14ac:dyDescent="0.2">
      <c r="A175" s="808"/>
    </row>
    <row r="176" spans="1:1" x14ac:dyDescent="0.2">
      <c r="A176" s="808"/>
    </row>
    <row r="177" spans="1:1" x14ac:dyDescent="0.2">
      <c r="A177" s="808"/>
    </row>
    <row r="178" spans="1:1" x14ac:dyDescent="0.2">
      <c r="A178" s="808"/>
    </row>
    <row r="179" spans="1:1" x14ac:dyDescent="0.2">
      <c r="A179" s="808"/>
    </row>
    <row r="180" spans="1:1" x14ac:dyDescent="0.2">
      <c r="A180" s="808"/>
    </row>
    <row r="181" spans="1:1" x14ac:dyDescent="0.2">
      <c r="A181" s="808"/>
    </row>
    <row r="182" spans="1:1" x14ac:dyDescent="0.2">
      <c r="A182" s="808"/>
    </row>
    <row r="183" spans="1:1" x14ac:dyDescent="0.2">
      <c r="A183" s="808"/>
    </row>
    <row r="184" spans="1:1" x14ac:dyDescent="0.2">
      <c r="A184" s="808"/>
    </row>
    <row r="185" spans="1:1" x14ac:dyDescent="0.2">
      <c r="A185" s="808"/>
    </row>
    <row r="186" spans="1:1" x14ac:dyDescent="0.2">
      <c r="A186" s="808"/>
    </row>
    <row r="187" spans="1:1" x14ac:dyDescent="0.2">
      <c r="A187" s="808"/>
    </row>
    <row r="188" spans="1:1" x14ac:dyDescent="0.2">
      <c r="A188" s="808"/>
    </row>
    <row r="189" spans="1:1" x14ac:dyDescent="0.2">
      <c r="A189" s="808"/>
    </row>
    <row r="190" spans="1:1" x14ac:dyDescent="0.2">
      <c r="A190" s="808"/>
    </row>
    <row r="191" spans="1:1" x14ac:dyDescent="0.2">
      <c r="A191" s="808"/>
    </row>
    <row r="192" spans="1:1" x14ac:dyDescent="0.2">
      <c r="A192" s="808"/>
    </row>
    <row r="193" spans="1:1" x14ac:dyDescent="0.2">
      <c r="A193" s="808"/>
    </row>
    <row r="194" spans="1:1" x14ac:dyDescent="0.2">
      <c r="A194" s="808"/>
    </row>
    <row r="195" spans="1:1" x14ac:dyDescent="0.2">
      <c r="A195" s="808"/>
    </row>
    <row r="196" spans="1:1" x14ac:dyDescent="0.2">
      <c r="A196" s="808"/>
    </row>
    <row r="197" spans="1:1" x14ac:dyDescent="0.2">
      <c r="A197" s="808"/>
    </row>
    <row r="198" spans="1:1" x14ac:dyDescent="0.2">
      <c r="A198" s="808"/>
    </row>
    <row r="199" spans="1:1" x14ac:dyDescent="0.2">
      <c r="A199" s="808"/>
    </row>
    <row r="200" spans="1:1" x14ac:dyDescent="0.2">
      <c r="A200" s="808"/>
    </row>
    <row r="201" spans="1:1" x14ac:dyDescent="0.2">
      <c r="A201" s="808"/>
    </row>
    <row r="202" spans="1:1" x14ac:dyDescent="0.2">
      <c r="A202" s="808"/>
    </row>
    <row r="203" spans="1:1" x14ac:dyDescent="0.2">
      <c r="A203" s="808"/>
    </row>
    <row r="204" spans="1:1" x14ac:dyDescent="0.2">
      <c r="A204" s="808"/>
    </row>
    <row r="205" spans="1:1" x14ac:dyDescent="0.2">
      <c r="A205" s="808"/>
    </row>
    <row r="206" spans="1:1" x14ac:dyDescent="0.2">
      <c r="A206" s="808"/>
    </row>
    <row r="207" spans="1:1" x14ac:dyDescent="0.2">
      <c r="A207" s="808"/>
    </row>
    <row r="208" spans="1:1" x14ac:dyDescent="0.2">
      <c r="A208" s="808"/>
    </row>
    <row r="209" spans="1:1" x14ac:dyDescent="0.2">
      <c r="A209" s="808"/>
    </row>
    <row r="210" spans="1:1" x14ac:dyDescent="0.2">
      <c r="A210" s="808"/>
    </row>
    <row r="211" spans="1:1" x14ac:dyDescent="0.2">
      <c r="A211" s="808"/>
    </row>
    <row r="212" spans="1:1" x14ac:dyDescent="0.2">
      <c r="A212" s="808"/>
    </row>
    <row r="213" spans="1:1" x14ac:dyDescent="0.2">
      <c r="A213" s="808"/>
    </row>
    <row r="214" spans="1:1" x14ac:dyDescent="0.2">
      <c r="A214" s="808"/>
    </row>
    <row r="215" spans="1:1" x14ac:dyDescent="0.2">
      <c r="A215" s="808"/>
    </row>
    <row r="216" spans="1:1" x14ac:dyDescent="0.2">
      <c r="A216" s="808"/>
    </row>
    <row r="217" spans="1:1" x14ac:dyDescent="0.2">
      <c r="A217" s="808"/>
    </row>
    <row r="218" spans="1:1" x14ac:dyDescent="0.2">
      <c r="A218" s="808"/>
    </row>
    <row r="219" spans="1:1" x14ac:dyDescent="0.2">
      <c r="A219" s="808"/>
    </row>
    <row r="220" spans="1:1" x14ac:dyDescent="0.2">
      <c r="A220" s="808"/>
    </row>
    <row r="221" spans="1:1" x14ac:dyDescent="0.2">
      <c r="A221" s="808"/>
    </row>
    <row r="222" spans="1:1" x14ac:dyDescent="0.2">
      <c r="A222" s="808"/>
    </row>
    <row r="223" spans="1:1" x14ac:dyDescent="0.2">
      <c r="A223" s="808"/>
    </row>
    <row r="224" spans="1:1" x14ac:dyDescent="0.2">
      <c r="A224" s="808"/>
    </row>
    <row r="225" spans="1:1" x14ac:dyDescent="0.2">
      <c r="A225" s="808"/>
    </row>
    <row r="226" spans="1:1" x14ac:dyDescent="0.2">
      <c r="A226" s="808"/>
    </row>
    <row r="227" spans="1:1" x14ac:dyDescent="0.2">
      <c r="A227" s="808"/>
    </row>
    <row r="228" spans="1:1" x14ac:dyDescent="0.2">
      <c r="A228" s="808"/>
    </row>
    <row r="229" spans="1:1" x14ac:dyDescent="0.2">
      <c r="A229" s="808"/>
    </row>
    <row r="230" spans="1:1" x14ac:dyDescent="0.2">
      <c r="A230" s="808"/>
    </row>
    <row r="231" spans="1:1" x14ac:dyDescent="0.2">
      <c r="A231" s="808"/>
    </row>
    <row r="232" spans="1:1" x14ac:dyDescent="0.2">
      <c r="A232" s="808"/>
    </row>
    <row r="233" spans="1:1" x14ac:dyDescent="0.2">
      <c r="A233" s="808"/>
    </row>
    <row r="234" spans="1:1" x14ac:dyDescent="0.2">
      <c r="A234" s="808"/>
    </row>
    <row r="235" spans="1:1" x14ac:dyDescent="0.2">
      <c r="A235" s="808"/>
    </row>
    <row r="236" spans="1:1" x14ac:dyDescent="0.2">
      <c r="A236" s="808"/>
    </row>
    <row r="237" spans="1:1" x14ac:dyDescent="0.2">
      <c r="A237" s="808"/>
    </row>
    <row r="238" spans="1:1" x14ac:dyDescent="0.2">
      <c r="A238" s="808"/>
    </row>
    <row r="239" spans="1:1" x14ac:dyDescent="0.2">
      <c r="A239" s="808"/>
    </row>
    <row r="240" spans="1:1" x14ac:dyDescent="0.2">
      <c r="A240" s="808"/>
    </row>
    <row r="241" spans="1:1" x14ac:dyDescent="0.2">
      <c r="A241" s="808"/>
    </row>
    <row r="242" spans="1:1" x14ac:dyDescent="0.2">
      <c r="A242" s="808"/>
    </row>
    <row r="243" spans="1:1" x14ac:dyDescent="0.2">
      <c r="A243" s="808"/>
    </row>
    <row r="244" spans="1:1" x14ac:dyDescent="0.2">
      <c r="A244" s="808"/>
    </row>
    <row r="245" spans="1:1" x14ac:dyDescent="0.2">
      <c r="A245" s="808"/>
    </row>
    <row r="246" spans="1:1" x14ac:dyDescent="0.2">
      <c r="A246" s="808"/>
    </row>
    <row r="247" spans="1:1" x14ac:dyDescent="0.2">
      <c r="A247" s="808"/>
    </row>
    <row r="248" spans="1:1" x14ac:dyDescent="0.2">
      <c r="A248" s="808"/>
    </row>
    <row r="249" spans="1:1" x14ac:dyDescent="0.2">
      <c r="A249" s="808"/>
    </row>
    <row r="250" spans="1:1" x14ac:dyDescent="0.2">
      <c r="A250" s="808"/>
    </row>
    <row r="251" spans="1:1" x14ac:dyDescent="0.2">
      <c r="A251" s="808"/>
    </row>
    <row r="252" spans="1:1" x14ac:dyDescent="0.2">
      <c r="A252" s="808"/>
    </row>
    <row r="253" spans="1:1" x14ac:dyDescent="0.2">
      <c r="A253" s="808"/>
    </row>
    <row r="254" spans="1:1" x14ac:dyDescent="0.2">
      <c r="A254" s="808"/>
    </row>
    <row r="255" spans="1:1" x14ac:dyDescent="0.2">
      <c r="A255" s="808"/>
    </row>
    <row r="256" spans="1:1" x14ac:dyDescent="0.2">
      <c r="A256" s="808"/>
    </row>
    <row r="257" spans="1:1" x14ac:dyDescent="0.2">
      <c r="A257" s="808"/>
    </row>
    <row r="258" spans="1:1" x14ac:dyDescent="0.2">
      <c r="A258" s="808"/>
    </row>
    <row r="259" spans="1:1" x14ac:dyDescent="0.2">
      <c r="A259" s="808"/>
    </row>
    <row r="260" spans="1:1" x14ac:dyDescent="0.2">
      <c r="A260" s="808"/>
    </row>
    <row r="261" spans="1:1" x14ac:dyDescent="0.2">
      <c r="A261" s="808"/>
    </row>
    <row r="262" spans="1:1" x14ac:dyDescent="0.2">
      <c r="A262" s="808"/>
    </row>
    <row r="263" spans="1:1" x14ac:dyDescent="0.2">
      <c r="A263" s="808"/>
    </row>
    <row r="264" spans="1:1" x14ac:dyDescent="0.2">
      <c r="A264" s="808"/>
    </row>
    <row r="265" spans="1:1" x14ac:dyDescent="0.2">
      <c r="A265" s="808"/>
    </row>
    <row r="266" spans="1:1" x14ac:dyDescent="0.2">
      <c r="A266" s="808"/>
    </row>
    <row r="267" spans="1:1" x14ac:dyDescent="0.2">
      <c r="A267" s="808"/>
    </row>
    <row r="268" spans="1:1" x14ac:dyDescent="0.2">
      <c r="A268" s="808"/>
    </row>
    <row r="269" spans="1:1" x14ac:dyDescent="0.2">
      <c r="A269" s="808"/>
    </row>
    <row r="270" spans="1:1" x14ac:dyDescent="0.2">
      <c r="A270" s="808"/>
    </row>
    <row r="271" spans="1:1" x14ac:dyDescent="0.2">
      <c r="A271" s="808"/>
    </row>
    <row r="272" spans="1:1" x14ac:dyDescent="0.2">
      <c r="A272" s="808"/>
    </row>
    <row r="273" spans="1:1" x14ac:dyDescent="0.2">
      <c r="A273" s="808"/>
    </row>
    <row r="274" spans="1:1" x14ac:dyDescent="0.2">
      <c r="A274" s="808"/>
    </row>
    <row r="275" spans="1:1" x14ac:dyDescent="0.2">
      <c r="A275" s="808"/>
    </row>
    <row r="276" spans="1:1" x14ac:dyDescent="0.2">
      <c r="A276" s="808"/>
    </row>
    <row r="277" spans="1:1" x14ac:dyDescent="0.2">
      <c r="A277" s="808"/>
    </row>
    <row r="278" spans="1:1" x14ac:dyDescent="0.2">
      <c r="A278" s="808"/>
    </row>
    <row r="279" spans="1:1" x14ac:dyDescent="0.2">
      <c r="A279" s="808"/>
    </row>
    <row r="280" spans="1:1" x14ac:dyDescent="0.2">
      <c r="A280" s="808"/>
    </row>
    <row r="281" spans="1:1" x14ac:dyDescent="0.2">
      <c r="A281" s="808"/>
    </row>
    <row r="282" spans="1:1" x14ac:dyDescent="0.2">
      <c r="A282" s="808"/>
    </row>
    <row r="283" spans="1:1" x14ac:dyDescent="0.2">
      <c r="A283" s="808"/>
    </row>
    <row r="284" spans="1:1" x14ac:dyDescent="0.2">
      <c r="A284" s="808"/>
    </row>
    <row r="285" spans="1:1" x14ac:dyDescent="0.2">
      <c r="A285" s="808"/>
    </row>
    <row r="286" spans="1:1" x14ac:dyDescent="0.2">
      <c r="A286" s="808"/>
    </row>
    <row r="287" spans="1:1" x14ac:dyDescent="0.2">
      <c r="A287" s="808"/>
    </row>
    <row r="288" spans="1:1" x14ac:dyDescent="0.2">
      <c r="A288" s="808"/>
    </row>
    <row r="289" spans="1:1" x14ac:dyDescent="0.2">
      <c r="A289" s="808"/>
    </row>
    <row r="290" spans="1:1" x14ac:dyDescent="0.2">
      <c r="A290" s="808"/>
    </row>
    <row r="291" spans="1:1" x14ac:dyDescent="0.2">
      <c r="A291" s="808"/>
    </row>
    <row r="292" spans="1:1" x14ac:dyDescent="0.2">
      <c r="A292" s="808"/>
    </row>
    <row r="293" spans="1:1" x14ac:dyDescent="0.2">
      <c r="A293" s="808"/>
    </row>
    <row r="294" spans="1:1" x14ac:dyDescent="0.2">
      <c r="A294" s="808"/>
    </row>
    <row r="295" spans="1:1" x14ac:dyDescent="0.2">
      <c r="A295" s="808"/>
    </row>
    <row r="296" spans="1:1" x14ac:dyDescent="0.2">
      <c r="A296" s="808"/>
    </row>
    <row r="297" spans="1:1" x14ac:dyDescent="0.2">
      <c r="A297" s="808"/>
    </row>
    <row r="298" spans="1:1" x14ac:dyDescent="0.2">
      <c r="A298" s="808"/>
    </row>
    <row r="299" spans="1:1" x14ac:dyDescent="0.2">
      <c r="A299" s="808"/>
    </row>
    <row r="300" spans="1:1" x14ac:dyDescent="0.2">
      <c r="A300" s="808"/>
    </row>
    <row r="301" spans="1:1" x14ac:dyDescent="0.2">
      <c r="A301" s="808"/>
    </row>
    <row r="302" spans="1:1" x14ac:dyDescent="0.2">
      <c r="A302" s="808"/>
    </row>
    <row r="303" spans="1:1" x14ac:dyDescent="0.2">
      <c r="A303" s="808"/>
    </row>
    <row r="304" spans="1:1" x14ac:dyDescent="0.2">
      <c r="A304" s="808"/>
    </row>
    <row r="305" spans="1:1" x14ac:dyDescent="0.2">
      <c r="A305" s="808"/>
    </row>
    <row r="306" spans="1:1" x14ac:dyDescent="0.2">
      <c r="A306" s="808"/>
    </row>
    <row r="307" spans="1:1" x14ac:dyDescent="0.2">
      <c r="A307" s="808"/>
    </row>
    <row r="308" spans="1:1" x14ac:dyDescent="0.2">
      <c r="A308" s="808"/>
    </row>
    <row r="309" spans="1:1" x14ac:dyDescent="0.2">
      <c r="A309" s="808"/>
    </row>
    <row r="310" spans="1:1" x14ac:dyDescent="0.2">
      <c r="A310" s="808"/>
    </row>
    <row r="311" spans="1:1" x14ac:dyDescent="0.2">
      <c r="A311" s="808"/>
    </row>
    <row r="312" spans="1:1" x14ac:dyDescent="0.2">
      <c r="A312" s="808"/>
    </row>
    <row r="313" spans="1:1" x14ac:dyDescent="0.2">
      <c r="A313" s="808"/>
    </row>
    <row r="314" spans="1:1" x14ac:dyDescent="0.2">
      <c r="A314" s="808"/>
    </row>
    <row r="315" spans="1:1" x14ac:dyDescent="0.2">
      <c r="A315" s="808"/>
    </row>
    <row r="316" spans="1:1" x14ac:dyDescent="0.2">
      <c r="A316" s="808"/>
    </row>
    <row r="317" spans="1:1" x14ac:dyDescent="0.2">
      <c r="A317" s="808"/>
    </row>
    <row r="318" spans="1:1" x14ac:dyDescent="0.2">
      <c r="A318" s="808"/>
    </row>
    <row r="319" spans="1:1" x14ac:dyDescent="0.2">
      <c r="A319" s="808"/>
    </row>
    <row r="320" spans="1:1" x14ac:dyDescent="0.2">
      <c r="A320" s="808"/>
    </row>
    <row r="321" spans="1:1" x14ac:dyDescent="0.2">
      <c r="A321" s="808"/>
    </row>
    <row r="322" spans="1:1" x14ac:dyDescent="0.2">
      <c r="A322" s="808"/>
    </row>
    <row r="323" spans="1:1" x14ac:dyDescent="0.2">
      <c r="A323" s="808"/>
    </row>
    <row r="324" spans="1:1" x14ac:dyDescent="0.2">
      <c r="A324" s="808"/>
    </row>
    <row r="325" spans="1:1" x14ac:dyDescent="0.2">
      <c r="A325" s="808"/>
    </row>
    <row r="326" spans="1:1" x14ac:dyDescent="0.2">
      <c r="A326" s="808"/>
    </row>
    <row r="327" spans="1:1" x14ac:dyDescent="0.2">
      <c r="A327" s="808"/>
    </row>
    <row r="328" spans="1:1" x14ac:dyDescent="0.2">
      <c r="A328" s="808"/>
    </row>
    <row r="329" spans="1:1" x14ac:dyDescent="0.2">
      <c r="A329" s="808"/>
    </row>
    <row r="330" spans="1:1" x14ac:dyDescent="0.2">
      <c r="A330" s="808"/>
    </row>
    <row r="331" spans="1:1" x14ac:dyDescent="0.2">
      <c r="A331" s="808"/>
    </row>
    <row r="332" spans="1:1" x14ac:dyDescent="0.2">
      <c r="A332" s="808"/>
    </row>
    <row r="333" spans="1:1" x14ac:dyDescent="0.2">
      <c r="A333" s="808"/>
    </row>
    <row r="334" spans="1:1" x14ac:dyDescent="0.2">
      <c r="A334" s="808"/>
    </row>
    <row r="335" spans="1:1" x14ac:dyDescent="0.2">
      <c r="A335" s="808"/>
    </row>
    <row r="336" spans="1:1" x14ac:dyDescent="0.2">
      <c r="A336" s="808"/>
    </row>
    <row r="337" spans="1:1" x14ac:dyDescent="0.2">
      <c r="A337" s="808"/>
    </row>
    <row r="338" spans="1:1" x14ac:dyDescent="0.2">
      <c r="A338" s="808"/>
    </row>
    <row r="339" spans="1:1" x14ac:dyDescent="0.2">
      <c r="A339" s="808"/>
    </row>
    <row r="340" spans="1:1" x14ac:dyDescent="0.2">
      <c r="A340" s="808"/>
    </row>
    <row r="341" spans="1:1" x14ac:dyDescent="0.2">
      <c r="A341" s="808"/>
    </row>
    <row r="342" spans="1:1" x14ac:dyDescent="0.2">
      <c r="A342" s="808"/>
    </row>
    <row r="343" spans="1:1" x14ac:dyDescent="0.2">
      <c r="A343" s="808"/>
    </row>
    <row r="344" spans="1:1" x14ac:dyDescent="0.2">
      <c r="A344" s="808"/>
    </row>
    <row r="345" spans="1:1" x14ac:dyDescent="0.2">
      <c r="A345" s="808"/>
    </row>
    <row r="346" spans="1:1" x14ac:dyDescent="0.2">
      <c r="A346" s="808"/>
    </row>
    <row r="347" spans="1:1" x14ac:dyDescent="0.2">
      <c r="A347" s="808"/>
    </row>
    <row r="348" spans="1:1" x14ac:dyDescent="0.2">
      <c r="A348" s="808"/>
    </row>
    <row r="349" spans="1:1" x14ac:dyDescent="0.2">
      <c r="A349" s="808"/>
    </row>
    <row r="350" spans="1:1" x14ac:dyDescent="0.2">
      <c r="A350" s="808"/>
    </row>
    <row r="351" spans="1:1" x14ac:dyDescent="0.2">
      <c r="A351" s="808"/>
    </row>
    <row r="352" spans="1:1" x14ac:dyDescent="0.2">
      <c r="A352" s="808"/>
    </row>
    <row r="353" spans="1:1" x14ac:dyDescent="0.2">
      <c r="A353" s="808"/>
    </row>
    <row r="354" spans="1:1" x14ac:dyDescent="0.2">
      <c r="A354" s="808"/>
    </row>
    <row r="355" spans="1:1" x14ac:dyDescent="0.2">
      <c r="A355" s="808"/>
    </row>
    <row r="356" spans="1:1" x14ac:dyDescent="0.2">
      <c r="A356" s="808"/>
    </row>
    <row r="357" spans="1:1" x14ac:dyDescent="0.2">
      <c r="A357" s="808"/>
    </row>
    <row r="358" spans="1:1" x14ac:dyDescent="0.2">
      <c r="A358" s="808"/>
    </row>
    <row r="359" spans="1:1" x14ac:dyDescent="0.2">
      <c r="A359" s="808"/>
    </row>
    <row r="360" spans="1:1" x14ac:dyDescent="0.2">
      <c r="A360" s="808"/>
    </row>
    <row r="361" spans="1:1" x14ac:dyDescent="0.2">
      <c r="A361" s="808"/>
    </row>
    <row r="362" spans="1:1" x14ac:dyDescent="0.2">
      <c r="A362" s="808"/>
    </row>
    <row r="363" spans="1:1" x14ac:dyDescent="0.2">
      <c r="A363" s="808"/>
    </row>
    <row r="364" spans="1:1" x14ac:dyDescent="0.2">
      <c r="A364" s="808"/>
    </row>
    <row r="365" spans="1:1" x14ac:dyDescent="0.2">
      <c r="A365" s="808"/>
    </row>
    <row r="366" spans="1:1" x14ac:dyDescent="0.2">
      <c r="A366" s="808"/>
    </row>
    <row r="367" spans="1:1" x14ac:dyDescent="0.2">
      <c r="A367" s="808"/>
    </row>
    <row r="368" spans="1:1" x14ac:dyDescent="0.2">
      <c r="A368" s="808"/>
    </row>
    <row r="369" spans="1:1" x14ac:dyDescent="0.2">
      <c r="A369" s="808"/>
    </row>
    <row r="370" spans="1:1" x14ac:dyDescent="0.2">
      <c r="A370" s="808"/>
    </row>
    <row r="371" spans="1:1" x14ac:dyDescent="0.2">
      <c r="A371" s="808"/>
    </row>
    <row r="372" spans="1:1" x14ac:dyDescent="0.2">
      <c r="A372" s="808"/>
    </row>
    <row r="373" spans="1:1" x14ac:dyDescent="0.2">
      <c r="A373" s="808"/>
    </row>
    <row r="374" spans="1:1" x14ac:dyDescent="0.2">
      <c r="A374" s="808"/>
    </row>
    <row r="375" spans="1:1" x14ac:dyDescent="0.2">
      <c r="A375" s="808"/>
    </row>
    <row r="376" spans="1:1" x14ac:dyDescent="0.2">
      <c r="A376" s="808"/>
    </row>
    <row r="377" spans="1:1" x14ac:dyDescent="0.2">
      <c r="A377" s="808"/>
    </row>
    <row r="378" spans="1:1" x14ac:dyDescent="0.2">
      <c r="A378" s="808"/>
    </row>
    <row r="379" spans="1:1" x14ac:dyDescent="0.2">
      <c r="A379" s="808"/>
    </row>
    <row r="380" spans="1:1" x14ac:dyDescent="0.2">
      <c r="A380" s="808"/>
    </row>
    <row r="381" spans="1:1" x14ac:dyDescent="0.2">
      <c r="A381" s="808"/>
    </row>
    <row r="382" spans="1:1" x14ac:dyDescent="0.2">
      <c r="A382" s="808"/>
    </row>
    <row r="383" spans="1:1" x14ac:dyDescent="0.2">
      <c r="A383" s="808"/>
    </row>
    <row r="384" spans="1:1" x14ac:dyDescent="0.2">
      <c r="A384" s="808"/>
    </row>
    <row r="385" spans="1:1" x14ac:dyDescent="0.2">
      <c r="A385" s="808"/>
    </row>
    <row r="386" spans="1:1" x14ac:dyDescent="0.2">
      <c r="A386" s="808"/>
    </row>
    <row r="387" spans="1:1" x14ac:dyDescent="0.2">
      <c r="A387" s="808"/>
    </row>
    <row r="388" spans="1:1" x14ac:dyDescent="0.2">
      <c r="A388" s="808"/>
    </row>
    <row r="389" spans="1:1" x14ac:dyDescent="0.2">
      <c r="A389" s="808"/>
    </row>
    <row r="390" spans="1:1" x14ac:dyDescent="0.2">
      <c r="A390" s="808"/>
    </row>
    <row r="391" spans="1:1" x14ac:dyDescent="0.2">
      <c r="A391" s="808"/>
    </row>
    <row r="392" spans="1:1" x14ac:dyDescent="0.2">
      <c r="A392" s="808"/>
    </row>
    <row r="393" spans="1:1" x14ac:dyDescent="0.2">
      <c r="A393" s="808"/>
    </row>
    <row r="394" spans="1:1" x14ac:dyDescent="0.2">
      <c r="A394" s="808"/>
    </row>
    <row r="395" spans="1:1" x14ac:dyDescent="0.2">
      <c r="A395" s="808"/>
    </row>
    <row r="396" spans="1:1" x14ac:dyDescent="0.2">
      <c r="A396" s="808"/>
    </row>
    <row r="397" spans="1:1" x14ac:dyDescent="0.2">
      <c r="A397" s="808"/>
    </row>
    <row r="398" spans="1:1" x14ac:dyDescent="0.2">
      <c r="A398" s="808"/>
    </row>
    <row r="399" spans="1:1" x14ac:dyDescent="0.2">
      <c r="A399" s="808"/>
    </row>
    <row r="400" spans="1:1" x14ac:dyDescent="0.2">
      <c r="A400" s="808"/>
    </row>
    <row r="401" spans="1:1" x14ac:dyDescent="0.2">
      <c r="A401" s="808"/>
    </row>
    <row r="402" spans="1:1" x14ac:dyDescent="0.2">
      <c r="A402" s="808"/>
    </row>
    <row r="403" spans="1:1" x14ac:dyDescent="0.2">
      <c r="A403" s="808"/>
    </row>
    <row r="404" spans="1:1" x14ac:dyDescent="0.2">
      <c r="A404" s="808"/>
    </row>
    <row r="405" spans="1:1" x14ac:dyDescent="0.2">
      <c r="A405" s="808"/>
    </row>
    <row r="406" spans="1:1" x14ac:dyDescent="0.2">
      <c r="A406" s="808"/>
    </row>
    <row r="407" spans="1:1" x14ac:dyDescent="0.2">
      <c r="A407" s="808"/>
    </row>
    <row r="408" spans="1:1" x14ac:dyDescent="0.2">
      <c r="A408" s="808"/>
    </row>
    <row r="409" spans="1:1" x14ac:dyDescent="0.2">
      <c r="A409" s="808"/>
    </row>
    <row r="410" spans="1:1" x14ac:dyDescent="0.2">
      <c r="A410" s="808"/>
    </row>
    <row r="411" spans="1:1" x14ac:dyDescent="0.2">
      <c r="A411" s="808"/>
    </row>
    <row r="412" spans="1:1" x14ac:dyDescent="0.2">
      <c r="A412" s="808"/>
    </row>
    <row r="413" spans="1:1" x14ac:dyDescent="0.2">
      <c r="A413" s="808"/>
    </row>
    <row r="414" spans="1:1" x14ac:dyDescent="0.2">
      <c r="A414" s="808"/>
    </row>
    <row r="415" spans="1:1" x14ac:dyDescent="0.2">
      <c r="A415" s="808"/>
    </row>
    <row r="416" spans="1:1" x14ac:dyDescent="0.2">
      <c r="A416" s="808"/>
    </row>
  </sheetData>
  <sheetProtection algorithmName="SHA-512" hashValue="RI54h5WkXEG2DAiQpxuiFmHmlRPrJpOn0H0QUPx+VvjXIbJtPnMX/YxdZJlYEyK/ocjUMLAFe4icfAA0+EKayQ==" saltValue="ikRsPLMWNWsqWPK6ktmqqA==" spinCount="100000" sheet="1" objects="1" scenarios="1"/>
  <sortState xmlns:xlrd2="http://schemas.microsoft.com/office/spreadsheetml/2017/richdata2" ref="B3:D21">
    <sortCondition ref="B2"/>
  </sortState>
  <customSheetViews>
    <customSheetView guid="{695F2D09-97F7-4A62-ACE9-B0C2EFD91E95}">
      <selection activeCell="I11" sqref="I11"/>
      <pageMargins left="0.7" right="0.7" top="0.75" bottom="0.75" header="0.3" footer="0.3"/>
    </customSheetView>
  </customSheetViews>
  <phoneticPr fontId="97" type="noConversion"/>
  <pageMargins left="0.7" right="0.7" top="0.75" bottom="0.75" header="0.3" footer="0.3"/>
  <pageSetup scale="90" fitToHeight="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sheetPr codeName="Sheet6"/>
  <dimension ref="A1:H480"/>
  <sheetViews>
    <sheetView topLeftCell="A452" workbookViewId="0">
      <selection activeCell="B461" sqref="B461"/>
    </sheetView>
  </sheetViews>
  <sheetFormatPr defaultColWidth="9.140625" defaultRowHeight="12.75" x14ac:dyDescent="0.2"/>
  <cols>
    <col min="1" max="1" width="40.7109375" style="405" customWidth="1"/>
    <col min="2" max="2" width="22.7109375" style="405" customWidth="1"/>
    <col min="3" max="3" width="7.28515625" style="405" bestFit="1" customWidth="1"/>
    <col min="4" max="4" width="84.140625" style="405" bestFit="1" customWidth="1"/>
    <col min="5" max="5" width="29.5703125" style="405" customWidth="1"/>
    <col min="6" max="6" width="11.42578125" style="405" customWidth="1"/>
    <col min="7" max="7" width="13.5703125" style="405" bestFit="1" customWidth="1"/>
    <col min="8" max="8" width="47.7109375" style="735" bestFit="1" customWidth="1"/>
    <col min="9" max="16384" width="9.140625" style="405"/>
  </cols>
  <sheetData>
    <row r="1" spans="1:6" x14ac:dyDescent="0.2">
      <c r="A1" s="402" t="s">
        <v>803</v>
      </c>
      <c r="B1" s="402" t="str">
        <f>'Sources of Funds Worksheet'!A13</f>
        <v>Deferred Developer Fee</v>
      </c>
      <c r="C1" s="402"/>
      <c r="D1" s="403" t="s">
        <v>804</v>
      </c>
      <c r="E1" s="404" t="s">
        <v>1287</v>
      </c>
    </row>
    <row r="2" spans="1:6" x14ac:dyDescent="0.2">
      <c r="A2" s="402" t="s">
        <v>805</v>
      </c>
      <c r="B2" s="406">
        <f>'Sources of Funds Worksheet'!S13</f>
        <v>19</v>
      </c>
      <c r="C2" s="402"/>
      <c r="D2" s="403" t="s">
        <v>804</v>
      </c>
      <c r="E2" s="403" t="s">
        <v>1286</v>
      </c>
      <c r="F2" s="407"/>
    </row>
    <row r="3" spans="1:6" x14ac:dyDescent="0.2">
      <c r="A3" s="402" t="s">
        <v>806</v>
      </c>
      <c r="B3" s="408">
        <f>'Sources of Funds Worksheet'!D13</f>
        <v>0</v>
      </c>
      <c r="C3" s="402"/>
      <c r="D3" s="403" t="s">
        <v>804</v>
      </c>
      <c r="E3" s="403"/>
    </row>
    <row r="4" spans="1:6" x14ac:dyDescent="0.2">
      <c r="A4" s="402" t="s">
        <v>807</v>
      </c>
      <c r="B4" s="409">
        <f>'Sources of Funds Worksheet'!E13</f>
        <v>0</v>
      </c>
      <c r="C4" s="402"/>
      <c r="D4" s="403" t="s">
        <v>804</v>
      </c>
      <c r="E4" s="403"/>
    </row>
    <row r="5" spans="1:6" x14ac:dyDescent="0.2">
      <c r="A5" s="402" t="s">
        <v>808</v>
      </c>
      <c r="B5" s="410">
        <f>'Sources of Funds Worksheet'!U13</f>
        <v>0</v>
      </c>
      <c r="C5" s="402"/>
      <c r="D5" s="403" t="s">
        <v>804</v>
      </c>
      <c r="E5" s="404" t="s">
        <v>1294</v>
      </c>
    </row>
    <row r="6" spans="1:6" x14ac:dyDescent="0.2">
      <c r="A6" s="402" t="s">
        <v>809</v>
      </c>
      <c r="B6" s="411" t="str">
        <f>'Sources of Funds Worksheet'!T13</f>
        <v>N</v>
      </c>
      <c r="C6" s="402"/>
      <c r="D6" s="403" t="s">
        <v>804</v>
      </c>
      <c r="E6" s="404"/>
    </row>
    <row r="7" spans="1:6" x14ac:dyDescent="0.2">
      <c r="A7" s="412" t="s">
        <v>810</v>
      </c>
      <c r="B7" s="413" t="s">
        <v>804</v>
      </c>
      <c r="C7" s="414"/>
      <c r="D7" s="403" t="s">
        <v>804</v>
      </c>
      <c r="E7" s="403" t="s">
        <v>1285</v>
      </c>
      <c r="F7" s="415"/>
    </row>
    <row r="8" spans="1:6" x14ac:dyDescent="0.2">
      <c r="A8" s="412" t="s">
        <v>811</v>
      </c>
      <c r="B8" s="416">
        <f>'Sources of Funds Worksheet'!V13</f>
        <v>0</v>
      </c>
      <c r="C8" s="414"/>
      <c r="D8" s="403" t="s">
        <v>804</v>
      </c>
      <c r="E8" s="404" t="s">
        <v>1293</v>
      </c>
    </row>
    <row r="9" spans="1:6" x14ac:dyDescent="0.2">
      <c r="A9" s="412" t="s">
        <v>812</v>
      </c>
      <c r="B9" s="417" t="str">
        <f>'Sources of Funds Worksheet'!K13</f>
        <v/>
      </c>
      <c r="C9" s="414"/>
      <c r="D9" s="403" t="s">
        <v>804</v>
      </c>
      <c r="E9" s="403"/>
    </row>
    <row r="10" spans="1:6" x14ac:dyDescent="0.2">
      <c r="A10" s="412" t="s">
        <v>813</v>
      </c>
      <c r="B10" s="418" t="str">
        <f>'Sources of Funds Worksheet'!P13</f>
        <v/>
      </c>
      <c r="C10" s="414"/>
      <c r="D10" s="403" t="s">
        <v>804</v>
      </c>
      <c r="E10" s="403"/>
    </row>
    <row r="11" spans="1:6" x14ac:dyDescent="0.2">
      <c r="A11" s="412" t="s">
        <v>1257</v>
      </c>
      <c r="B11" s="414">
        <v>1</v>
      </c>
      <c r="C11" s="414"/>
      <c r="D11" s="403"/>
      <c r="E11" s="403"/>
      <c r="F11" s="419" t="s">
        <v>1404</v>
      </c>
    </row>
    <row r="12" spans="1:6" x14ac:dyDescent="0.2">
      <c r="A12" s="402" t="s">
        <v>814</v>
      </c>
      <c r="B12" s="420" t="str">
        <f>'Sources of Funds Worksheet'!A11</f>
        <v>LIHTC</v>
      </c>
      <c r="C12" s="402"/>
      <c r="D12" s="403" t="s">
        <v>804</v>
      </c>
      <c r="E12" s="403"/>
    </row>
    <row r="13" spans="1:6" x14ac:dyDescent="0.2">
      <c r="A13" s="402" t="s">
        <v>815</v>
      </c>
      <c r="B13" s="406">
        <f>'Sources of Funds Worksheet'!S11</f>
        <v>4</v>
      </c>
      <c r="C13" s="402"/>
      <c r="D13" s="403" t="s">
        <v>804</v>
      </c>
      <c r="E13" s="403" t="s">
        <v>1286</v>
      </c>
      <c r="F13" s="407"/>
    </row>
    <row r="14" spans="1:6" x14ac:dyDescent="0.2">
      <c r="A14" s="402" t="s">
        <v>816</v>
      </c>
      <c r="B14" s="408">
        <f>'Sources of Funds Worksheet'!D11</f>
        <v>0</v>
      </c>
      <c r="C14" s="402"/>
      <c r="D14" s="403" t="s">
        <v>804</v>
      </c>
      <c r="E14" s="403"/>
    </row>
    <row r="15" spans="1:6" x14ac:dyDescent="0.2">
      <c r="A15" s="402" t="s">
        <v>817</v>
      </c>
      <c r="B15" s="409">
        <f>'Sources of Funds Worksheet'!E11</f>
        <v>0</v>
      </c>
      <c r="C15" s="402"/>
      <c r="D15" s="403" t="s">
        <v>804</v>
      </c>
      <c r="E15" s="403"/>
    </row>
    <row r="16" spans="1:6" x14ac:dyDescent="0.2">
      <c r="A16" s="402" t="s">
        <v>818</v>
      </c>
      <c r="B16" s="410">
        <f>'Sources of Funds Worksheet'!U11</f>
        <v>0</v>
      </c>
      <c r="C16" s="402"/>
      <c r="D16" s="403" t="s">
        <v>804</v>
      </c>
      <c r="E16" s="403"/>
    </row>
    <row r="17" spans="1:6" x14ac:dyDescent="0.2">
      <c r="A17" s="402" t="s">
        <v>819</v>
      </c>
      <c r="B17" s="420" t="str">
        <f>'Sources of Funds Worksheet'!T11</f>
        <v>N</v>
      </c>
      <c r="C17" s="402"/>
      <c r="D17" s="403" t="s">
        <v>804</v>
      </c>
      <c r="E17" s="404"/>
    </row>
    <row r="18" spans="1:6" x14ac:dyDescent="0.2">
      <c r="A18" s="412" t="s">
        <v>820</v>
      </c>
      <c r="B18" s="413" t="s">
        <v>804</v>
      </c>
      <c r="C18" s="414"/>
      <c r="D18" s="403" t="s">
        <v>804</v>
      </c>
      <c r="E18" s="403" t="s">
        <v>1285</v>
      </c>
      <c r="F18" s="415"/>
    </row>
    <row r="19" spans="1:6" x14ac:dyDescent="0.2">
      <c r="A19" s="412" t="s">
        <v>821</v>
      </c>
      <c r="B19" s="421">
        <f>'Sources of Funds Worksheet'!V11</f>
        <v>0</v>
      </c>
      <c r="C19" s="414"/>
      <c r="D19" s="403" t="s">
        <v>804</v>
      </c>
      <c r="E19" s="403"/>
    </row>
    <row r="20" spans="1:6" x14ac:dyDescent="0.2">
      <c r="A20" s="412" t="s">
        <v>822</v>
      </c>
      <c r="B20" s="417" t="str">
        <f>'Sources of Funds Worksheet'!K11</f>
        <v/>
      </c>
      <c r="C20" s="414"/>
      <c r="D20" s="403" t="s">
        <v>804</v>
      </c>
      <c r="E20" s="403"/>
    </row>
    <row r="21" spans="1:6" x14ac:dyDescent="0.2">
      <c r="A21" s="412" t="s">
        <v>823</v>
      </c>
      <c r="B21" s="422" t="str">
        <f>'Sources of Funds Worksheet'!P11</f>
        <v/>
      </c>
      <c r="C21" s="414"/>
      <c r="D21" s="403" t="s">
        <v>804</v>
      </c>
      <c r="E21" s="403"/>
    </row>
    <row r="22" spans="1:6" x14ac:dyDescent="0.2">
      <c r="A22" s="412" t="s">
        <v>1258</v>
      </c>
      <c r="B22" s="422">
        <v>2</v>
      </c>
      <c r="C22" s="414"/>
      <c r="D22" s="403"/>
      <c r="E22" s="403"/>
      <c r="F22" s="419" t="s">
        <v>1404</v>
      </c>
    </row>
    <row r="23" spans="1:6" x14ac:dyDescent="0.2">
      <c r="A23" s="402" t="s">
        <v>824</v>
      </c>
      <c r="B23" s="402" t="str">
        <f>'Sources of Funds Worksheet'!A10</f>
        <v>Permanent Loan</v>
      </c>
      <c r="C23" s="402"/>
      <c r="D23" s="403" t="s">
        <v>804</v>
      </c>
      <c r="E23" s="403"/>
    </row>
    <row r="24" spans="1:6" x14ac:dyDescent="0.2">
      <c r="A24" s="402" t="s">
        <v>825</v>
      </c>
      <c r="B24" s="406">
        <f>'Sources of Funds Worksheet'!S10</f>
        <v>2</v>
      </c>
      <c r="C24" s="402"/>
      <c r="D24" s="403" t="s">
        <v>804</v>
      </c>
      <c r="E24" s="403" t="s">
        <v>1286</v>
      </c>
      <c r="F24" s="407"/>
    </row>
    <row r="25" spans="1:6" x14ac:dyDescent="0.2">
      <c r="A25" s="402" t="s">
        <v>826</v>
      </c>
      <c r="B25" s="408">
        <f>'Sources of Funds Worksheet'!D10</f>
        <v>0</v>
      </c>
      <c r="C25" s="402"/>
      <c r="D25" s="403" t="s">
        <v>804</v>
      </c>
      <c r="E25" s="403"/>
    </row>
    <row r="26" spans="1:6" x14ac:dyDescent="0.2">
      <c r="A26" s="402" t="s">
        <v>827</v>
      </c>
      <c r="B26" s="409">
        <f>'Sources of Funds Worksheet'!E10</f>
        <v>0</v>
      </c>
      <c r="C26" s="402"/>
      <c r="D26" s="403" t="s">
        <v>804</v>
      </c>
      <c r="E26" s="403"/>
    </row>
    <row r="27" spans="1:6" x14ac:dyDescent="0.2">
      <c r="A27" s="402" t="s">
        <v>828</v>
      </c>
      <c r="B27" s="423">
        <f>'Sources of Funds Worksheet'!U10</f>
        <v>0</v>
      </c>
      <c r="C27" s="402"/>
      <c r="D27" s="403" t="s">
        <v>804</v>
      </c>
      <c r="E27" s="403"/>
    </row>
    <row r="28" spans="1:6" x14ac:dyDescent="0.2">
      <c r="A28" s="402" t="s">
        <v>829</v>
      </c>
      <c r="B28" s="420" t="str">
        <f>'Sources of Funds Worksheet'!T10</f>
        <v>N</v>
      </c>
      <c r="C28" s="402"/>
      <c r="D28" s="403" t="s">
        <v>804</v>
      </c>
      <c r="E28" s="403"/>
    </row>
    <row r="29" spans="1:6" x14ac:dyDescent="0.2">
      <c r="A29" s="412" t="s">
        <v>830</v>
      </c>
      <c r="B29" s="413" t="s">
        <v>804</v>
      </c>
      <c r="C29" s="414"/>
      <c r="D29" s="403" t="s">
        <v>804</v>
      </c>
      <c r="E29" s="403" t="s">
        <v>1285</v>
      </c>
      <c r="F29" s="415"/>
    </row>
    <row r="30" spans="1:6" x14ac:dyDescent="0.2">
      <c r="A30" s="412" t="s">
        <v>831</v>
      </c>
      <c r="B30" s="416">
        <f>'Sources of Funds Worksheet'!V10</f>
        <v>0</v>
      </c>
      <c r="C30" s="414"/>
      <c r="D30" s="403" t="s">
        <v>804</v>
      </c>
      <c r="E30" s="403"/>
    </row>
    <row r="31" spans="1:6" x14ac:dyDescent="0.2">
      <c r="A31" s="412" t="s">
        <v>832</v>
      </c>
      <c r="B31" s="417" t="str">
        <f>'Sources of Funds Worksheet'!K10</f>
        <v/>
      </c>
      <c r="C31" s="414"/>
      <c r="D31" s="403" t="s">
        <v>804</v>
      </c>
      <c r="E31" s="403"/>
    </row>
    <row r="32" spans="1:6" x14ac:dyDescent="0.2">
      <c r="A32" s="412" t="s">
        <v>833</v>
      </c>
      <c r="B32" s="418" t="str">
        <f>'Sources of Funds Worksheet'!P10</f>
        <v/>
      </c>
      <c r="C32" s="414"/>
      <c r="D32" s="403" t="s">
        <v>804</v>
      </c>
      <c r="E32" s="403"/>
    </row>
    <row r="33" spans="1:6" x14ac:dyDescent="0.2">
      <c r="A33" s="412" t="s">
        <v>1259</v>
      </c>
      <c r="B33" s="418">
        <v>3</v>
      </c>
      <c r="C33" s="414"/>
      <c r="D33" s="403"/>
      <c r="E33" s="403"/>
      <c r="F33" s="419" t="s">
        <v>1404</v>
      </c>
    </row>
    <row r="34" spans="1:6" x14ac:dyDescent="0.2">
      <c r="A34" s="402" t="s">
        <v>834</v>
      </c>
      <c r="B34" s="402" t="str">
        <f>'Sources of Funds Worksheet'!A14</f>
        <v>HOME</v>
      </c>
      <c r="C34" s="402"/>
      <c r="D34" s="403" t="s">
        <v>804</v>
      </c>
      <c r="E34" s="403"/>
    </row>
    <row r="35" spans="1:6" x14ac:dyDescent="0.2">
      <c r="A35" s="402" t="s">
        <v>835</v>
      </c>
      <c r="B35" s="406">
        <f>'Sources of Funds Worksheet'!S14</f>
        <v>8</v>
      </c>
      <c r="C35" s="402"/>
      <c r="D35" s="403" t="s">
        <v>804</v>
      </c>
      <c r="E35" s="403" t="s">
        <v>1286</v>
      </c>
      <c r="F35" s="407"/>
    </row>
    <row r="36" spans="1:6" x14ac:dyDescent="0.2">
      <c r="A36" s="402" t="s">
        <v>836</v>
      </c>
      <c r="B36" s="408">
        <f>'Sources of Funds Worksheet'!D14</f>
        <v>0</v>
      </c>
      <c r="C36" s="402"/>
      <c r="D36" s="403" t="s">
        <v>804</v>
      </c>
      <c r="E36" s="403"/>
    </row>
    <row r="37" spans="1:6" x14ac:dyDescent="0.2">
      <c r="A37" s="402" t="s">
        <v>837</v>
      </c>
      <c r="B37" s="409">
        <f>'Sources of Funds Worksheet'!E14</f>
        <v>0</v>
      </c>
      <c r="C37" s="402"/>
      <c r="D37" s="403" t="s">
        <v>804</v>
      </c>
      <c r="E37" s="403"/>
    </row>
    <row r="38" spans="1:6" x14ac:dyDescent="0.2">
      <c r="A38" s="402" t="s">
        <v>838</v>
      </c>
      <c r="B38" s="423">
        <f>'Sources of Funds Worksheet'!U14</f>
        <v>0</v>
      </c>
      <c r="C38" s="402"/>
      <c r="D38" s="403" t="s">
        <v>804</v>
      </c>
      <c r="E38" s="403"/>
    </row>
    <row r="39" spans="1:6" x14ac:dyDescent="0.2">
      <c r="A39" s="402" t="s">
        <v>839</v>
      </c>
      <c r="B39" s="420" t="str">
        <f>'Sources of Funds Worksheet'!T14</f>
        <v>N</v>
      </c>
      <c r="C39" s="402"/>
      <c r="D39" s="403" t="s">
        <v>804</v>
      </c>
      <c r="E39" s="403"/>
    </row>
    <row r="40" spans="1:6" x14ac:dyDescent="0.2">
      <c r="A40" s="412" t="s">
        <v>840</v>
      </c>
      <c r="B40" s="413" t="s">
        <v>804</v>
      </c>
      <c r="C40" s="414"/>
      <c r="D40" s="403" t="s">
        <v>804</v>
      </c>
      <c r="E40" s="403" t="s">
        <v>1285</v>
      </c>
      <c r="F40" s="415"/>
    </row>
    <row r="41" spans="1:6" x14ac:dyDescent="0.2">
      <c r="A41" s="412" t="s">
        <v>841</v>
      </c>
      <c r="B41" s="416">
        <f>'Sources of Funds Worksheet'!V14</f>
        <v>0</v>
      </c>
      <c r="C41" s="414"/>
      <c r="D41" s="403" t="s">
        <v>804</v>
      </c>
      <c r="E41" s="403"/>
    </row>
    <row r="42" spans="1:6" x14ac:dyDescent="0.2">
      <c r="A42" s="412" t="s">
        <v>842</v>
      </c>
      <c r="B42" s="417" t="str">
        <f>'Sources of Funds Worksheet'!K13</f>
        <v/>
      </c>
      <c r="C42" s="414"/>
      <c r="D42" s="403" t="s">
        <v>804</v>
      </c>
      <c r="E42" s="403"/>
    </row>
    <row r="43" spans="1:6" x14ac:dyDescent="0.2">
      <c r="A43" s="412" t="s">
        <v>843</v>
      </c>
      <c r="B43" s="422" t="str">
        <f>'Sources of Funds Worksheet'!P14</f>
        <v/>
      </c>
      <c r="C43" s="414"/>
      <c r="D43" s="403" t="s">
        <v>804</v>
      </c>
      <c r="E43" s="403"/>
    </row>
    <row r="44" spans="1:6" x14ac:dyDescent="0.2">
      <c r="A44" s="412" t="s">
        <v>1260</v>
      </c>
      <c r="B44" s="422">
        <v>4</v>
      </c>
      <c r="C44" s="414"/>
      <c r="D44" s="403"/>
      <c r="E44" s="403"/>
      <c r="F44" s="419" t="s">
        <v>1404</v>
      </c>
    </row>
    <row r="45" spans="1:6" x14ac:dyDescent="0.2">
      <c r="A45" s="402" t="s">
        <v>844</v>
      </c>
      <c r="B45" s="424">
        <f>'Sources of Funds Worksheet'!A15</f>
        <v>0</v>
      </c>
      <c r="C45" s="402"/>
      <c r="D45" s="403" t="s">
        <v>804</v>
      </c>
      <c r="E45" s="403"/>
    </row>
    <row r="46" spans="1:6" x14ac:dyDescent="0.2">
      <c r="A46" s="402" t="s">
        <v>845</v>
      </c>
      <c r="B46" s="406" t="str">
        <f>'Sources of Funds Worksheet'!S15</f>
        <v>NA</v>
      </c>
      <c r="C46" s="402"/>
      <c r="D46" s="403" t="s">
        <v>804</v>
      </c>
      <c r="E46" s="403" t="s">
        <v>1286</v>
      </c>
    </row>
    <row r="47" spans="1:6" x14ac:dyDescent="0.2">
      <c r="A47" s="402" t="s">
        <v>846</v>
      </c>
      <c r="B47" s="408">
        <f>'Sources of Funds Worksheet'!D15</f>
        <v>0</v>
      </c>
      <c r="C47" s="402"/>
      <c r="D47" s="403" t="s">
        <v>804</v>
      </c>
      <c r="E47" s="403"/>
    </row>
    <row r="48" spans="1:6" x14ac:dyDescent="0.2">
      <c r="A48" s="402" t="s">
        <v>847</v>
      </c>
      <c r="B48" s="409">
        <f>'Sources of Funds Worksheet'!E15</f>
        <v>0</v>
      </c>
      <c r="C48" s="402"/>
      <c r="D48" s="403" t="s">
        <v>804</v>
      </c>
      <c r="E48" s="403"/>
    </row>
    <row r="49" spans="1:6" x14ac:dyDescent="0.2">
      <c r="A49" s="402" t="s">
        <v>848</v>
      </c>
      <c r="B49" s="410">
        <f>'Sources of Funds Worksheet'!U15</f>
        <v>0</v>
      </c>
      <c r="C49" s="402"/>
      <c r="D49" s="403" t="s">
        <v>804</v>
      </c>
      <c r="E49" s="403"/>
    </row>
    <row r="50" spans="1:6" x14ac:dyDescent="0.2">
      <c r="A50" s="402" t="s">
        <v>849</v>
      </c>
      <c r="B50" s="420" t="str">
        <f>'Sources of Funds Worksheet'!T15</f>
        <v>N</v>
      </c>
      <c r="C50" s="402"/>
      <c r="D50" s="403" t="s">
        <v>804</v>
      </c>
      <c r="E50" s="403"/>
    </row>
    <row r="51" spans="1:6" x14ac:dyDescent="0.2">
      <c r="A51" s="412" t="s">
        <v>850</v>
      </c>
      <c r="B51" s="413" t="s">
        <v>804</v>
      </c>
      <c r="C51" s="414"/>
      <c r="D51" s="403" t="s">
        <v>804</v>
      </c>
      <c r="E51" s="403" t="s">
        <v>1285</v>
      </c>
      <c r="F51" s="415"/>
    </row>
    <row r="52" spans="1:6" x14ac:dyDescent="0.2">
      <c r="A52" s="412" t="s">
        <v>851</v>
      </c>
      <c r="B52" s="416">
        <f>'Sources of Funds Worksheet'!V15</f>
        <v>0</v>
      </c>
      <c r="C52" s="414"/>
      <c r="D52" s="403" t="s">
        <v>804</v>
      </c>
      <c r="E52" s="403"/>
    </row>
    <row r="53" spans="1:6" x14ac:dyDescent="0.2">
      <c r="A53" s="412" t="s">
        <v>852</v>
      </c>
      <c r="B53" s="417" t="str">
        <f>'Sources of Funds Worksheet'!K15</f>
        <v/>
      </c>
      <c r="C53" s="414"/>
      <c r="D53" s="403" t="s">
        <v>804</v>
      </c>
      <c r="E53" s="403"/>
    </row>
    <row r="54" spans="1:6" x14ac:dyDescent="0.2">
      <c r="A54" s="412" t="s">
        <v>853</v>
      </c>
      <c r="B54" s="418" t="str">
        <f>'Sources of Funds Worksheet'!P15</f>
        <v/>
      </c>
      <c r="C54" s="414"/>
      <c r="D54" s="403" t="s">
        <v>804</v>
      </c>
      <c r="E54" s="403"/>
    </row>
    <row r="55" spans="1:6" x14ac:dyDescent="0.2">
      <c r="A55" s="412" t="s">
        <v>1261</v>
      </c>
      <c r="B55" s="418">
        <v>5</v>
      </c>
      <c r="C55" s="414"/>
      <c r="D55" s="403"/>
      <c r="E55" s="403"/>
      <c r="F55" s="419" t="s">
        <v>1404</v>
      </c>
    </row>
    <row r="56" spans="1:6" x14ac:dyDescent="0.2">
      <c r="A56" s="402" t="s">
        <v>854</v>
      </c>
      <c r="B56" s="420" t="str">
        <f>'Sources of Funds Worksheet'!A12</f>
        <v xml:space="preserve">Owner Equity </v>
      </c>
      <c r="C56" s="402"/>
      <c r="D56" s="403" t="s">
        <v>804</v>
      </c>
      <c r="E56" s="403"/>
    </row>
    <row r="57" spans="1:6" x14ac:dyDescent="0.2">
      <c r="A57" s="402" t="s">
        <v>855</v>
      </c>
      <c r="B57" s="406">
        <f>'Sources of Funds Worksheet'!S12</f>
        <v>18</v>
      </c>
      <c r="C57" s="402"/>
      <c r="D57" s="403" t="s">
        <v>804</v>
      </c>
      <c r="E57" s="403"/>
      <c r="F57" s="407"/>
    </row>
    <row r="58" spans="1:6" x14ac:dyDescent="0.2">
      <c r="A58" s="402" t="s">
        <v>856</v>
      </c>
      <c r="B58" s="408">
        <f>'Sources of Funds Worksheet'!D12</f>
        <v>0</v>
      </c>
      <c r="C58" s="402"/>
      <c r="D58" s="403" t="s">
        <v>804</v>
      </c>
      <c r="E58" s="403"/>
    </row>
    <row r="59" spans="1:6" x14ac:dyDescent="0.2">
      <c r="A59" s="402" t="s">
        <v>857</v>
      </c>
      <c r="B59" s="409">
        <f>'Sources of Funds Worksheet'!E12</f>
        <v>0</v>
      </c>
      <c r="C59" s="402"/>
      <c r="D59" s="403" t="s">
        <v>804</v>
      </c>
      <c r="E59" s="403"/>
    </row>
    <row r="60" spans="1:6" x14ac:dyDescent="0.2">
      <c r="A60" s="402" t="s">
        <v>858</v>
      </c>
      <c r="B60" s="410">
        <f>'Sources of Funds Worksheet'!U12</f>
        <v>0</v>
      </c>
      <c r="C60" s="402"/>
      <c r="D60" s="403" t="s">
        <v>804</v>
      </c>
      <c r="E60" s="403"/>
    </row>
    <row r="61" spans="1:6" x14ac:dyDescent="0.2">
      <c r="A61" s="402" t="s">
        <v>859</v>
      </c>
      <c r="B61" s="420" t="str">
        <f>'Sources of Funds Worksheet'!T12</f>
        <v>N</v>
      </c>
      <c r="C61" s="402"/>
      <c r="D61" s="403" t="s">
        <v>804</v>
      </c>
      <c r="E61" s="403"/>
      <c r="F61" s="415"/>
    </row>
    <row r="62" spans="1:6" x14ac:dyDescent="0.2">
      <c r="A62" s="412" t="s">
        <v>860</v>
      </c>
      <c r="B62" s="413" t="s">
        <v>804</v>
      </c>
      <c r="C62" s="414"/>
      <c r="D62" s="403" t="s">
        <v>804</v>
      </c>
      <c r="E62" s="403"/>
    </row>
    <row r="63" spans="1:6" x14ac:dyDescent="0.2">
      <c r="A63" s="412" t="s">
        <v>861</v>
      </c>
      <c r="B63" s="416">
        <f>'Sources of Funds Worksheet'!V12</f>
        <v>0</v>
      </c>
      <c r="C63" s="414"/>
      <c r="D63" s="403" t="s">
        <v>804</v>
      </c>
      <c r="E63" s="403"/>
    </row>
    <row r="64" spans="1:6" x14ac:dyDescent="0.2">
      <c r="A64" s="412" t="s">
        <v>862</v>
      </c>
      <c r="B64" s="417" t="str">
        <f>'Sources of Funds Worksheet'!K12</f>
        <v/>
      </c>
      <c r="C64" s="414"/>
      <c r="D64" s="403" t="s">
        <v>804</v>
      </c>
      <c r="E64" s="403"/>
    </row>
    <row r="65" spans="1:6" x14ac:dyDescent="0.2">
      <c r="A65" s="412" t="s">
        <v>863</v>
      </c>
      <c r="B65" s="422" t="str">
        <f>'Sources of Funds Worksheet'!P12</f>
        <v/>
      </c>
      <c r="C65" s="414"/>
      <c r="D65" s="403" t="s">
        <v>804</v>
      </c>
      <c r="E65" s="403"/>
    </row>
    <row r="66" spans="1:6" x14ac:dyDescent="0.2">
      <c r="A66" s="412" t="s">
        <v>1262</v>
      </c>
      <c r="B66" s="422">
        <v>6</v>
      </c>
      <c r="C66" s="414"/>
      <c r="D66" s="403"/>
      <c r="E66" s="403"/>
      <c r="F66" s="419" t="s">
        <v>1404</v>
      </c>
    </row>
    <row r="67" spans="1:6" x14ac:dyDescent="0.2">
      <c r="A67" s="402" t="s">
        <v>864</v>
      </c>
      <c r="B67" s="402">
        <f>'Sources of Funds Worksheet'!A16</f>
        <v>0</v>
      </c>
      <c r="C67" s="402"/>
      <c r="D67" s="403" t="s">
        <v>804</v>
      </c>
      <c r="E67" s="403"/>
    </row>
    <row r="68" spans="1:6" x14ac:dyDescent="0.2">
      <c r="A68" s="402" t="s">
        <v>865</v>
      </c>
      <c r="B68" s="406" t="str">
        <f>'Sources of Funds Worksheet'!S16</f>
        <v>NA</v>
      </c>
      <c r="C68" s="402"/>
      <c r="D68" s="403" t="s">
        <v>804</v>
      </c>
      <c r="E68" s="403"/>
      <c r="F68" s="407"/>
    </row>
    <row r="69" spans="1:6" x14ac:dyDescent="0.2">
      <c r="A69" s="402" t="s">
        <v>866</v>
      </c>
      <c r="B69" s="408">
        <f>'Sources of Funds Worksheet'!D16</f>
        <v>0</v>
      </c>
      <c r="C69" s="402"/>
      <c r="D69" s="403" t="s">
        <v>804</v>
      </c>
      <c r="E69" s="403"/>
    </row>
    <row r="70" spans="1:6" x14ac:dyDescent="0.2">
      <c r="A70" s="402" t="s">
        <v>867</v>
      </c>
      <c r="B70" s="409">
        <f>'Sources of Funds Worksheet'!E16</f>
        <v>0</v>
      </c>
      <c r="C70" s="402"/>
      <c r="D70" s="403" t="s">
        <v>804</v>
      </c>
      <c r="E70" s="403"/>
    </row>
    <row r="71" spans="1:6" x14ac:dyDescent="0.2">
      <c r="A71" s="402" t="s">
        <v>868</v>
      </c>
      <c r="B71" s="410">
        <f>'Sources of Funds Worksheet'!U16</f>
        <v>0</v>
      </c>
      <c r="C71" s="402"/>
      <c r="D71" s="403" t="s">
        <v>804</v>
      </c>
      <c r="E71" s="403"/>
    </row>
    <row r="72" spans="1:6" x14ac:dyDescent="0.2">
      <c r="A72" s="402" t="s">
        <v>869</v>
      </c>
      <c r="B72" s="420" t="str">
        <f>'Sources of Funds Worksheet'!T16</f>
        <v>N</v>
      </c>
      <c r="C72" s="402"/>
      <c r="D72" s="403" t="s">
        <v>804</v>
      </c>
      <c r="E72" s="403"/>
      <c r="F72" s="415"/>
    </row>
    <row r="73" spans="1:6" x14ac:dyDescent="0.2">
      <c r="A73" s="412" t="s">
        <v>870</v>
      </c>
      <c r="B73" s="413" t="s">
        <v>804</v>
      </c>
      <c r="C73" s="414"/>
      <c r="D73" s="403" t="s">
        <v>804</v>
      </c>
      <c r="E73" s="403"/>
    </row>
    <row r="74" spans="1:6" x14ac:dyDescent="0.2">
      <c r="A74" s="412" t="s">
        <v>871</v>
      </c>
      <c r="B74" s="416">
        <f>'Sources of Funds Worksheet'!V16</f>
        <v>0</v>
      </c>
      <c r="C74" s="414"/>
      <c r="D74" s="403" t="s">
        <v>804</v>
      </c>
      <c r="E74" s="403"/>
    </row>
    <row r="75" spans="1:6" x14ac:dyDescent="0.2">
      <c r="A75" s="412" t="s">
        <v>872</v>
      </c>
      <c r="B75" s="417" t="str">
        <f>'Sources of Funds Worksheet'!K16</f>
        <v/>
      </c>
      <c r="C75" s="414"/>
      <c r="D75" s="403" t="s">
        <v>804</v>
      </c>
      <c r="E75" s="403"/>
    </row>
    <row r="76" spans="1:6" x14ac:dyDescent="0.2">
      <c r="A76" s="412" t="s">
        <v>873</v>
      </c>
      <c r="B76" s="422" t="str">
        <f>'Sources of Funds Worksheet'!P16</f>
        <v/>
      </c>
      <c r="C76" s="414"/>
      <c r="D76" s="403" t="s">
        <v>804</v>
      </c>
      <c r="E76" s="403"/>
    </row>
    <row r="77" spans="1:6" x14ac:dyDescent="0.2">
      <c r="A77" s="412" t="s">
        <v>1263</v>
      </c>
      <c r="B77" s="422">
        <v>7</v>
      </c>
      <c r="C77" s="414"/>
      <c r="D77" s="403"/>
      <c r="E77" s="403"/>
      <c r="F77" s="419" t="s">
        <v>1404</v>
      </c>
    </row>
    <row r="78" spans="1:6" x14ac:dyDescent="0.2">
      <c r="A78" s="402" t="s">
        <v>874</v>
      </c>
      <c r="B78" s="402">
        <f>'Sources of Funds Worksheet'!A17</f>
        <v>0</v>
      </c>
      <c r="C78" s="402"/>
      <c r="D78" s="403" t="s">
        <v>804</v>
      </c>
      <c r="E78" s="403"/>
    </row>
    <row r="79" spans="1:6" x14ac:dyDescent="0.2">
      <c r="A79" s="402" t="s">
        <v>875</v>
      </c>
      <c r="B79" s="406" t="str">
        <f>'Sources of Funds Worksheet'!S17</f>
        <v>NA</v>
      </c>
      <c r="C79" s="402"/>
      <c r="D79" s="403" t="s">
        <v>804</v>
      </c>
      <c r="E79" s="403"/>
      <c r="F79" s="407"/>
    </row>
    <row r="80" spans="1:6" x14ac:dyDescent="0.2">
      <c r="A80" s="402" t="s">
        <v>876</v>
      </c>
      <c r="B80" s="408">
        <f>'Sources of Funds Worksheet'!D17</f>
        <v>0</v>
      </c>
      <c r="C80" s="402"/>
      <c r="D80" s="403" t="s">
        <v>804</v>
      </c>
      <c r="E80" s="403"/>
    </row>
    <row r="81" spans="1:6" x14ac:dyDescent="0.2">
      <c r="A81" s="402" t="s">
        <v>877</v>
      </c>
      <c r="B81" s="409">
        <f>'Sources of Funds Worksheet'!E17</f>
        <v>0</v>
      </c>
      <c r="C81" s="402"/>
      <c r="D81" s="403" t="s">
        <v>804</v>
      </c>
      <c r="E81" s="403"/>
    </row>
    <row r="82" spans="1:6" x14ac:dyDescent="0.2">
      <c r="A82" s="402" t="s">
        <v>878</v>
      </c>
      <c r="B82" s="410">
        <f>'Sources of Funds Worksheet'!U17</f>
        <v>0</v>
      </c>
      <c r="C82" s="402"/>
      <c r="D82" s="403" t="s">
        <v>804</v>
      </c>
      <c r="E82" s="403"/>
    </row>
    <row r="83" spans="1:6" x14ac:dyDescent="0.2">
      <c r="A83" s="402" t="s">
        <v>879</v>
      </c>
      <c r="B83" s="425" t="str">
        <f>'Sources of Funds Worksheet'!T17</f>
        <v>N</v>
      </c>
      <c r="C83" s="402"/>
      <c r="D83" s="403" t="s">
        <v>804</v>
      </c>
      <c r="E83" s="403"/>
    </row>
    <row r="84" spans="1:6" x14ac:dyDescent="0.2">
      <c r="A84" s="412" t="s">
        <v>880</v>
      </c>
      <c r="B84" s="413" t="s">
        <v>804</v>
      </c>
      <c r="C84" s="414"/>
      <c r="D84" s="403" t="s">
        <v>804</v>
      </c>
      <c r="E84" s="403"/>
      <c r="F84" s="415"/>
    </row>
    <row r="85" spans="1:6" x14ac:dyDescent="0.2">
      <c r="A85" s="412" t="s">
        <v>881</v>
      </c>
      <c r="B85" s="416">
        <f>'Sources of Funds Worksheet'!V17</f>
        <v>0</v>
      </c>
      <c r="C85" s="414"/>
      <c r="D85" s="403" t="s">
        <v>804</v>
      </c>
      <c r="E85" s="403"/>
    </row>
    <row r="86" spans="1:6" x14ac:dyDescent="0.2">
      <c r="A86" s="412" t="s">
        <v>882</v>
      </c>
      <c r="B86" s="417" t="str">
        <f>'Sources of Funds Worksheet'!K17</f>
        <v/>
      </c>
      <c r="C86" s="414"/>
      <c r="D86" s="403" t="s">
        <v>804</v>
      </c>
      <c r="E86" s="403"/>
    </row>
    <row r="87" spans="1:6" x14ac:dyDescent="0.2">
      <c r="A87" s="412" t="s">
        <v>883</v>
      </c>
      <c r="B87" s="422" t="str">
        <f>'Sources of Funds Worksheet'!P17</f>
        <v/>
      </c>
      <c r="C87" s="414"/>
      <c r="D87" s="403" t="s">
        <v>804</v>
      </c>
      <c r="E87" s="403"/>
    </row>
    <row r="88" spans="1:6" x14ac:dyDescent="0.2">
      <c r="A88" s="412" t="s">
        <v>1264</v>
      </c>
      <c r="B88" s="422">
        <v>8</v>
      </c>
      <c r="C88" s="414"/>
      <c r="D88" s="403"/>
      <c r="E88" s="403"/>
      <c r="F88" s="419" t="s">
        <v>1404</v>
      </c>
    </row>
    <row r="89" spans="1:6" x14ac:dyDescent="0.2">
      <c r="A89" s="402" t="s">
        <v>884</v>
      </c>
      <c r="B89" s="402">
        <f>'Sources of Funds Worksheet'!A21</f>
        <v>0</v>
      </c>
      <c r="C89" s="402"/>
      <c r="D89" s="403" t="s">
        <v>804</v>
      </c>
      <c r="E89" s="403"/>
    </row>
    <row r="90" spans="1:6" x14ac:dyDescent="0.2">
      <c r="A90" s="402" t="s">
        <v>885</v>
      </c>
      <c r="B90" s="406" t="str">
        <f>'Sources of Funds Worksheet'!S21</f>
        <v>NA</v>
      </c>
      <c r="C90" s="402"/>
      <c r="D90" s="403" t="s">
        <v>804</v>
      </c>
      <c r="E90" s="403"/>
      <c r="F90" s="407"/>
    </row>
    <row r="91" spans="1:6" x14ac:dyDescent="0.2">
      <c r="A91" s="402" t="s">
        <v>886</v>
      </c>
      <c r="B91" s="408">
        <f>'Sources of Funds Worksheet'!D21</f>
        <v>0</v>
      </c>
      <c r="C91" s="402"/>
      <c r="D91" s="403" t="s">
        <v>804</v>
      </c>
      <c r="E91" s="403"/>
    </row>
    <row r="92" spans="1:6" x14ac:dyDescent="0.2">
      <c r="A92" s="402" t="s">
        <v>887</v>
      </c>
      <c r="B92" s="409">
        <f>'Sources of Funds Worksheet'!E21</f>
        <v>0</v>
      </c>
      <c r="C92" s="402"/>
      <c r="D92" s="403" t="s">
        <v>804</v>
      </c>
      <c r="E92" s="403"/>
    </row>
    <row r="93" spans="1:6" x14ac:dyDescent="0.2">
      <c r="A93" s="402" t="s">
        <v>888</v>
      </c>
      <c r="B93" s="410">
        <f>'Sources of Funds Worksheet'!U21</f>
        <v>0</v>
      </c>
      <c r="C93" s="402"/>
      <c r="D93" s="403" t="s">
        <v>804</v>
      </c>
      <c r="E93" s="403"/>
    </row>
    <row r="94" spans="1:6" x14ac:dyDescent="0.2">
      <c r="A94" s="402" t="s">
        <v>889</v>
      </c>
      <c r="B94" s="420" t="str">
        <f>'Sources of Funds Worksheet'!T21</f>
        <v>N</v>
      </c>
      <c r="C94" s="402"/>
      <c r="D94" s="403" t="s">
        <v>804</v>
      </c>
      <c r="E94" s="403"/>
    </row>
    <row r="95" spans="1:6" x14ac:dyDescent="0.2">
      <c r="A95" s="412" t="s">
        <v>890</v>
      </c>
      <c r="B95" s="413" t="s">
        <v>804</v>
      </c>
      <c r="C95" s="414"/>
      <c r="D95" s="403" t="s">
        <v>804</v>
      </c>
      <c r="E95" s="403"/>
      <c r="F95" s="415"/>
    </row>
    <row r="96" spans="1:6" x14ac:dyDescent="0.2">
      <c r="A96" s="412" t="s">
        <v>891</v>
      </c>
      <c r="B96" s="426">
        <f>'Sources of Funds Worksheet'!V21</f>
        <v>0</v>
      </c>
      <c r="C96" s="414"/>
      <c r="D96" s="403" t="s">
        <v>804</v>
      </c>
      <c r="E96" s="403"/>
    </row>
    <row r="97" spans="1:6" x14ac:dyDescent="0.2">
      <c r="A97" s="412" t="s">
        <v>892</v>
      </c>
      <c r="B97" s="417" t="str">
        <f>'Sources of Funds Worksheet'!K21</f>
        <v/>
      </c>
      <c r="C97" s="414"/>
      <c r="D97" s="403" t="s">
        <v>804</v>
      </c>
      <c r="E97" s="403"/>
    </row>
    <row r="98" spans="1:6" x14ac:dyDescent="0.2">
      <c r="A98" s="412" t="s">
        <v>893</v>
      </c>
      <c r="B98" s="422" t="str">
        <f>'Sources of Funds Worksheet'!P21</f>
        <v/>
      </c>
      <c r="C98" s="414"/>
      <c r="D98" s="403" t="s">
        <v>804</v>
      </c>
      <c r="E98" s="403"/>
    </row>
    <row r="99" spans="1:6" x14ac:dyDescent="0.2">
      <c r="A99" s="412" t="s">
        <v>1265</v>
      </c>
      <c r="B99" s="422">
        <v>9</v>
      </c>
      <c r="C99" s="414"/>
      <c r="D99" s="403"/>
      <c r="E99" s="403"/>
      <c r="F99" s="419"/>
    </row>
    <row r="100" spans="1:6" x14ac:dyDescent="0.2">
      <c r="A100" s="402" t="s">
        <v>894</v>
      </c>
      <c r="B100" s="402">
        <f>'Sources of Funds Worksheet'!A22</f>
        <v>0</v>
      </c>
      <c r="C100" s="402"/>
      <c r="D100" s="403" t="s">
        <v>804</v>
      </c>
      <c r="E100" s="403"/>
    </row>
    <row r="101" spans="1:6" x14ac:dyDescent="0.2">
      <c r="A101" s="402" t="s">
        <v>895</v>
      </c>
      <c r="B101" s="406" t="str">
        <f>'Sources of Funds Worksheet'!S22</f>
        <v>NA</v>
      </c>
      <c r="C101" s="402"/>
      <c r="D101" s="403" t="s">
        <v>804</v>
      </c>
      <c r="E101" s="403"/>
      <c r="F101" s="407"/>
    </row>
    <row r="102" spans="1:6" x14ac:dyDescent="0.2">
      <c r="A102" s="402" t="s">
        <v>896</v>
      </c>
      <c r="B102" s="408">
        <f>'Sources of Funds Worksheet'!D22</f>
        <v>0</v>
      </c>
      <c r="C102" s="402"/>
      <c r="D102" s="403" t="s">
        <v>804</v>
      </c>
      <c r="E102" s="403"/>
    </row>
    <row r="103" spans="1:6" x14ac:dyDescent="0.2">
      <c r="A103" s="402" t="s">
        <v>897</v>
      </c>
      <c r="B103" s="409">
        <f>'Sources of Funds Worksheet'!E22</f>
        <v>0</v>
      </c>
      <c r="C103" s="402"/>
      <c r="D103" s="403" t="s">
        <v>804</v>
      </c>
      <c r="E103" s="403"/>
    </row>
    <row r="104" spans="1:6" x14ac:dyDescent="0.2">
      <c r="A104" s="402" t="s">
        <v>898</v>
      </c>
      <c r="B104" s="410">
        <f>'Sources of Funds Worksheet'!U22</f>
        <v>0</v>
      </c>
      <c r="C104" s="402"/>
      <c r="D104" s="403" t="s">
        <v>804</v>
      </c>
      <c r="E104" s="403"/>
    </row>
    <row r="105" spans="1:6" x14ac:dyDescent="0.2">
      <c r="A105" s="402" t="s">
        <v>899</v>
      </c>
      <c r="B105" s="420" t="str">
        <f>'Sources of Funds Worksheet'!T22</f>
        <v>N</v>
      </c>
      <c r="C105" s="402"/>
      <c r="D105" s="403" t="s">
        <v>804</v>
      </c>
      <c r="E105" s="403"/>
    </row>
    <row r="106" spans="1:6" x14ac:dyDescent="0.2">
      <c r="A106" s="412" t="s">
        <v>900</v>
      </c>
      <c r="B106" s="413" t="s">
        <v>804</v>
      </c>
      <c r="C106" s="414"/>
      <c r="D106" s="403" t="s">
        <v>804</v>
      </c>
      <c r="E106" s="403"/>
      <c r="F106" s="415"/>
    </row>
    <row r="107" spans="1:6" x14ac:dyDescent="0.2">
      <c r="A107" s="412" t="s">
        <v>901</v>
      </c>
      <c r="B107" s="416">
        <f>'Sources of Funds Worksheet'!V22</f>
        <v>0</v>
      </c>
      <c r="C107" s="414"/>
      <c r="D107" s="403" t="s">
        <v>804</v>
      </c>
      <c r="E107" s="403"/>
    </row>
    <row r="108" spans="1:6" x14ac:dyDescent="0.2">
      <c r="A108" s="412" t="s">
        <v>902</v>
      </c>
      <c r="B108" s="417" t="str">
        <f>'Sources of Funds Worksheet'!K22</f>
        <v/>
      </c>
      <c r="C108" s="414"/>
      <c r="D108" s="403" t="s">
        <v>804</v>
      </c>
      <c r="E108" s="403"/>
    </row>
    <row r="109" spans="1:6" x14ac:dyDescent="0.2">
      <c r="A109" s="412" t="s">
        <v>903</v>
      </c>
      <c r="B109" s="418" t="str">
        <f>'Sources of Funds Worksheet'!P22</f>
        <v/>
      </c>
      <c r="C109" s="414"/>
      <c r="D109" s="403" t="s">
        <v>804</v>
      </c>
      <c r="E109" s="403"/>
    </row>
    <row r="110" spans="1:6" x14ac:dyDescent="0.2">
      <c r="A110" s="412" t="s">
        <v>1266</v>
      </c>
      <c r="B110" s="418">
        <v>10</v>
      </c>
      <c r="C110" s="414"/>
      <c r="D110" s="403"/>
      <c r="E110" s="403"/>
      <c r="F110" s="419"/>
    </row>
    <row r="111" spans="1:6" x14ac:dyDescent="0.2">
      <c r="A111" s="402" t="s">
        <v>904</v>
      </c>
      <c r="B111" s="402">
        <f>'Sources of Funds Worksheet'!A18</f>
        <v>0</v>
      </c>
      <c r="C111" s="402"/>
      <c r="D111" s="424" t="s">
        <v>804</v>
      </c>
      <c r="E111" s="403"/>
    </row>
    <row r="112" spans="1:6" x14ac:dyDescent="0.2">
      <c r="A112" s="402" t="s">
        <v>905</v>
      </c>
      <c r="B112" s="406" t="str">
        <f>'Sources of Funds Worksheet'!S18</f>
        <v>NA</v>
      </c>
      <c r="C112" s="402"/>
      <c r="D112" s="424" t="s">
        <v>804</v>
      </c>
      <c r="E112" s="403"/>
      <c r="F112" s="407"/>
    </row>
    <row r="113" spans="1:6" x14ac:dyDescent="0.2">
      <c r="A113" s="402" t="s">
        <v>906</v>
      </c>
      <c r="B113" s="408">
        <f>'Sources of Funds Worksheet'!D18</f>
        <v>0</v>
      </c>
      <c r="C113" s="402"/>
      <c r="D113" s="424" t="s">
        <v>804</v>
      </c>
      <c r="E113" s="403"/>
    </row>
    <row r="114" spans="1:6" x14ac:dyDescent="0.2">
      <c r="A114" s="402" t="s">
        <v>907</v>
      </c>
      <c r="B114" s="409">
        <f>'Sources of Funds Worksheet'!E18</f>
        <v>0</v>
      </c>
      <c r="C114" s="402"/>
      <c r="D114" s="424" t="s">
        <v>804</v>
      </c>
      <c r="E114" s="403"/>
    </row>
    <row r="115" spans="1:6" x14ac:dyDescent="0.2">
      <c r="A115" s="402" t="s">
        <v>908</v>
      </c>
      <c r="B115" s="410">
        <f>'Sources of Funds Worksheet'!U18</f>
        <v>0</v>
      </c>
      <c r="C115" s="402"/>
      <c r="D115" s="424" t="s">
        <v>804</v>
      </c>
      <c r="E115" s="403"/>
    </row>
    <row r="116" spans="1:6" x14ac:dyDescent="0.2">
      <c r="A116" s="402" t="s">
        <v>909</v>
      </c>
      <c r="B116" s="420" t="str">
        <f>'Sources of Funds Worksheet'!T18</f>
        <v>N</v>
      </c>
      <c r="C116" s="402"/>
      <c r="D116" s="424" t="s">
        <v>804</v>
      </c>
      <c r="E116" s="403"/>
    </row>
    <row r="117" spans="1:6" x14ac:dyDescent="0.2">
      <c r="A117" s="412" t="s">
        <v>910</v>
      </c>
      <c r="B117" s="413" t="s">
        <v>804</v>
      </c>
      <c r="C117" s="414"/>
      <c r="D117" s="424" t="s">
        <v>804</v>
      </c>
      <c r="E117" s="403"/>
      <c r="F117" s="415"/>
    </row>
    <row r="118" spans="1:6" x14ac:dyDescent="0.2">
      <c r="A118" s="412" t="s">
        <v>911</v>
      </c>
      <c r="B118" s="426">
        <f>'Sources of Funds Worksheet'!V18</f>
        <v>0</v>
      </c>
      <c r="C118" s="414"/>
      <c r="D118" s="424" t="s">
        <v>804</v>
      </c>
      <c r="E118" s="403"/>
    </row>
    <row r="119" spans="1:6" x14ac:dyDescent="0.2">
      <c r="A119" s="412" t="s">
        <v>912</v>
      </c>
      <c r="B119" s="417" t="str">
        <f>'Sources of Funds Worksheet'!K18</f>
        <v/>
      </c>
      <c r="C119" s="414"/>
      <c r="D119" s="424" t="s">
        <v>804</v>
      </c>
      <c r="E119" s="403"/>
    </row>
    <row r="120" spans="1:6" x14ac:dyDescent="0.2">
      <c r="A120" s="412" t="s">
        <v>913</v>
      </c>
      <c r="B120" s="422" t="str">
        <f>'Sources of Funds Worksheet'!P18</f>
        <v/>
      </c>
      <c r="C120" s="414"/>
      <c r="D120" s="424" t="s">
        <v>804</v>
      </c>
      <c r="E120" s="403"/>
    </row>
    <row r="121" spans="1:6" x14ac:dyDescent="0.2">
      <c r="A121" s="412" t="s">
        <v>1267</v>
      </c>
      <c r="B121" s="422">
        <v>11</v>
      </c>
      <c r="C121" s="414"/>
      <c r="D121" s="424"/>
      <c r="E121" s="403"/>
      <c r="F121" s="419"/>
    </row>
    <row r="122" spans="1:6" x14ac:dyDescent="0.2">
      <c r="A122" s="402" t="s">
        <v>914</v>
      </c>
      <c r="B122" s="402">
        <f>'Sources of Funds Worksheet'!A19</f>
        <v>0</v>
      </c>
      <c r="C122" s="402"/>
      <c r="D122" s="424" t="s">
        <v>804</v>
      </c>
      <c r="E122" s="403"/>
    </row>
    <row r="123" spans="1:6" x14ac:dyDescent="0.2">
      <c r="A123" s="402" t="s">
        <v>915</v>
      </c>
      <c r="B123" s="406" t="str">
        <f>'Sources of Funds Worksheet'!S19</f>
        <v>NA</v>
      </c>
      <c r="C123" s="402"/>
      <c r="D123" s="424" t="s">
        <v>804</v>
      </c>
      <c r="E123" s="403"/>
      <c r="F123" s="407"/>
    </row>
    <row r="124" spans="1:6" x14ac:dyDescent="0.2">
      <c r="A124" s="402" t="s">
        <v>916</v>
      </c>
      <c r="B124" s="408">
        <f>'Sources of Funds Worksheet'!D19</f>
        <v>0</v>
      </c>
      <c r="C124" s="402"/>
      <c r="D124" s="424" t="s">
        <v>804</v>
      </c>
      <c r="E124" s="403"/>
    </row>
    <row r="125" spans="1:6" x14ac:dyDescent="0.2">
      <c r="A125" s="402" t="s">
        <v>917</v>
      </c>
      <c r="B125" s="409">
        <f>'Sources of Funds Worksheet'!E19</f>
        <v>0</v>
      </c>
      <c r="C125" s="402"/>
      <c r="D125" s="424" t="s">
        <v>804</v>
      </c>
      <c r="E125" s="403"/>
    </row>
    <row r="126" spans="1:6" x14ac:dyDescent="0.2">
      <c r="A126" s="402" t="s">
        <v>918</v>
      </c>
      <c r="B126" s="410">
        <f>'Sources of Funds Worksheet'!U19</f>
        <v>0</v>
      </c>
      <c r="C126" s="402"/>
      <c r="D126" s="424" t="s">
        <v>804</v>
      </c>
      <c r="E126" s="403"/>
    </row>
    <row r="127" spans="1:6" x14ac:dyDescent="0.2">
      <c r="A127" s="402" t="s">
        <v>919</v>
      </c>
      <c r="B127" s="420" t="str">
        <f>'Sources of Funds Worksheet'!T19</f>
        <v>N</v>
      </c>
      <c r="C127" s="402"/>
      <c r="D127" s="424" t="s">
        <v>804</v>
      </c>
      <c r="E127" s="403"/>
    </row>
    <row r="128" spans="1:6" x14ac:dyDescent="0.2">
      <c r="A128" s="412" t="s">
        <v>920</v>
      </c>
      <c r="B128" s="413" t="s">
        <v>804</v>
      </c>
      <c r="C128" s="414"/>
      <c r="D128" s="424" t="s">
        <v>804</v>
      </c>
      <c r="E128" s="403"/>
      <c r="F128" s="415"/>
    </row>
    <row r="129" spans="1:6" x14ac:dyDescent="0.2">
      <c r="A129" s="412" t="s">
        <v>921</v>
      </c>
      <c r="B129" s="426">
        <f>'Sources of Funds Worksheet'!V19</f>
        <v>0</v>
      </c>
      <c r="C129" s="414"/>
      <c r="D129" s="424" t="s">
        <v>804</v>
      </c>
      <c r="E129" s="403"/>
    </row>
    <row r="130" spans="1:6" x14ac:dyDescent="0.2">
      <c r="A130" s="412" t="s">
        <v>922</v>
      </c>
      <c r="B130" s="417" t="str">
        <f>'Sources of Funds Worksheet'!K19</f>
        <v/>
      </c>
      <c r="C130" s="414"/>
      <c r="D130" s="424" t="s">
        <v>804</v>
      </c>
      <c r="E130" s="403"/>
    </row>
    <row r="131" spans="1:6" x14ac:dyDescent="0.2">
      <c r="A131" s="412" t="s">
        <v>923</v>
      </c>
      <c r="B131" s="422" t="str">
        <f>'Sources of Funds Worksheet'!P19</f>
        <v/>
      </c>
      <c r="C131" s="414"/>
      <c r="D131" s="424" t="s">
        <v>804</v>
      </c>
      <c r="E131" s="403"/>
    </row>
    <row r="132" spans="1:6" x14ac:dyDescent="0.2">
      <c r="A132" s="412" t="s">
        <v>1268</v>
      </c>
      <c r="B132" s="422">
        <v>12</v>
      </c>
      <c r="C132" s="414"/>
      <c r="D132" s="424"/>
      <c r="E132" s="403"/>
      <c r="F132" s="419"/>
    </row>
    <row r="133" spans="1:6" x14ac:dyDescent="0.2">
      <c r="A133" s="402" t="s">
        <v>924</v>
      </c>
      <c r="B133" s="402">
        <f>'Sources of Funds Worksheet'!A20</f>
        <v>0</v>
      </c>
      <c r="C133" s="402"/>
      <c r="D133" s="424" t="s">
        <v>804</v>
      </c>
      <c r="E133" s="403"/>
    </row>
    <row r="134" spans="1:6" x14ac:dyDescent="0.2">
      <c r="A134" s="402" t="s">
        <v>925</v>
      </c>
      <c r="B134" s="406" t="str">
        <f>'Sources of Funds Worksheet'!S20</f>
        <v>NA</v>
      </c>
      <c r="C134" s="402"/>
      <c r="D134" s="424" t="s">
        <v>804</v>
      </c>
      <c r="E134" s="403"/>
      <c r="F134" s="407"/>
    </row>
    <row r="135" spans="1:6" x14ac:dyDescent="0.2">
      <c r="A135" s="402" t="s">
        <v>926</v>
      </c>
      <c r="B135" s="408">
        <f>'Sources of Funds Worksheet'!D20</f>
        <v>0</v>
      </c>
      <c r="C135" s="402"/>
      <c r="D135" s="424" t="s">
        <v>804</v>
      </c>
      <c r="E135" s="403"/>
    </row>
    <row r="136" spans="1:6" x14ac:dyDescent="0.2">
      <c r="A136" s="402" t="s">
        <v>927</v>
      </c>
      <c r="B136" s="409">
        <f>'Sources of Funds Worksheet'!E20</f>
        <v>0</v>
      </c>
      <c r="C136" s="402"/>
      <c r="D136" s="424" t="s">
        <v>804</v>
      </c>
      <c r="E136" s="403"/>
    </row>
    <row r="137" spans="1:6" x14ac:dyDescent="0.2">
      <c r="A137" s="402" t="s">
        <v>928</v>
      </c>
      <c r="B137" s="427">
        <f>'Sources of Funds Worksheet'!U20</f>
        <v>0</v>
      </c>
      <c r="C137" s="402"/>
      <c r="D137" s="424" t="s">
        <v>804</v>
      </c>
      <c r="E137" s="403"/>
    </row>
    <row r="138" spans="1:6" x14ac:dyDescent="0.2">
      <c r="A138" s="402" t="s">
        <v>929</v>
      </c>
      <c r="B138" s="420" t="str">
        <f>'Sources of Funds Worksheet'!T20</f>
        <v>N</v>
      </c>
      <c r="C138" s="402"/>
      <c r="D138" s="424" t="s">
        <v>804</v>
      </c>
      <c r="E138" s="403"/>
    </row>
    <row r="139" spans="1:6" x14ac:dyDescent="0.2">
      <c r="A139" s="412" t="s">
        <v>930</v>
      </c>
      <c r="B139" s="413" t="s">
        <v>804</v>
      </c>
      <c r="C139" s="414"/>
      <c r="D139" s="424" t="s">
        <v>804</v>
      </c>
      <c r="E139" s="403"/>
      <c r="F139" s="415"/>
    </row>
    <row r="140" spans="1:6" x14ac:dyDescent="0.2">
      <c r="A140" s="412" t="s">
        <v>931</v>
      </c>
      <c r="B140" s="426">
        <f>'Sources of Funds Worksheet'!V20</f>
        <v>0</v>
      </c>
      <c r="C140" s="414"/>
      <c r="D140" s="424" t="s">
        <v>804</v>
      </c>
      <c r="E140" s="403"/>
    </row>
    <row r="141" spans="1:6" x14ac:dyDescent="0.2">
      <c r="A141" s="412" t="s">
        <v>932</v>
      </c>
      <c r="B141" s="417" t="str">
        <f>'Sources of Funds Worksheet'!K20</f>
        <v/>
      </c>
      <c r="C141" s="414"/>
      <c r="D141" s="424" t="s">
        <v>804</v>
      </c>
      <c r="E141" s="403"/>
    </row>
    <row r="142" spans="1:6" x14ac:dyDescent="0.2">
      <c r="A142" s="412" t="s">
        <v>933</v>
      </c>
      <c r="B142" s="422" t="str">
        <f>'Sources of Funds Worksheet'!P20</f>
        <v/>
      </c>
      <c r="C142" s="414"/>
      <c r="D142" s="424" t="s">
        <v>804</v>
      </c>
      <c r="E142" s="403"/>
    </row>
    <row r="143" spans="1:6" x14ac:dyDescent="0.2">
      <c r="A143" s="412" t="s">
        <v>1269</v>
      </c>
      <c r="B143" s="422">
        <v>13</v>
      </c>
      <c r="C143" s="414"/>
      <c r="D143" s="424"/>
      <c r="E143" s="403"/>
      <c r="F143" s="419"/>
    </row>
    <row r="144" spans="1:6" x14ac:dyDescent="0.2">
      <c r="A144" s="402" t="s">
        <v>934</v>
      </c>
      <c r="B144" s="402" t="str">
        <f>'Sources of Funds Worksheet'!Q14</f>
        <v>AHP Direct Subsidy</v>
      </c>
      <c r="C144" s="402"/>
      <c r="D144" s="403" t="s">
        <v>804</v>
      </c>
      <c r="E144" s="403"/>
    </row>
    <row r="145" spans="1:6" x14ac:dyDescent="0.2">
      <c r="A145" s="402" t="s">
        <v>935</v>
      </c>
      <c r="B145" s="406">
        <f>'Sources of Funds Worksheet'!S9</f>
        <v>1</v>
      </c>
      <c r="C145" s="402"/>
      <c r="D145" s="403" t="s">
        <v>804</v>
      </c>
      <c r="E145" s="403"/>
      <c r="F145" s="407"/>
    </row>
    <row r="146" spans="1:6" x14ac:dyDescent="0.2">
      <c r="A146" s="402" t="s">
        <v>936</v>
      </c>
      <c r="B146" s="408">
        <f>'Sources of Funds Worksheet'!R14</f>
        <v>0</v>
      </c>
      <c r="C146" s="402"/>
      <c r="D146" s="403" t="s">
        <v>804</v>
      </c>
      <c r="E146" s="403"/>
    </row>
    <row r="147" spans="1:6" x14ac:dyDescent="0.2">
      <c r="A147" s="402" t="s">
        <v>937</v>
      </c>
      <c r="B147" s="409">
        <f>'Sources of Funds Worksheet'!E8</f>
        <v>0</v>
      </c>
      <c r="C147" s="402"/>
      <c r="D147" s="403" t="s">
        <v>804</v>
      </c>
      <c r="E147" s="403"/>
    </row>
    <row r="148" spans="1:6" x14ac:dyDescent="0.2">
      <c r="A148" s="402" t="s">
        <v>938</v>
      </c>
      <c r="B148" s="410">
        <f>'Sources of Funds Worksheet'!U8</f>
        <v>0</v>
      </c>
      <c r="C148" s="402"/>
      <c r="D148" s="403" t="s">
        <v>804</v>
      </c>
      <c r="E148" s="403"/>
    </row>
    <row r="149" spans="1:6" x14ac:dyDescent="0.2">
      <c r="A149" s="402" t="s">
        <v>939</v>
      </c>
      <c r="B149" s="420" t="str">
        <f>'Sources of Funds Worksheet'!T9</f>
        <v>N</v>
      </c>
      <c r="C149" s="402"/>
      <c r="D149" s="403" t="s">
        <v>804</v>
      </c>
      <c r="E149" s="403"/>
    </row>
    <row r="150" spans="1:6" x14ac:dyDescent="0.2">
      <c r="A150" s="412" t="s">
        <v>940</v>
      </c>
      <c r="B150" s="413" t="s">
        <v>804</v>
      </c>
      <c r="C150" s="414"/>
      <c r="D150" s="403" t="s">
        <v>804</v>
      </c>
      <c r="E150" s="403"/>
      <c r="F150" s="415"/>
    </row>
    <row r="151" spans="1:6" x14ac:dyDescent="0.2">
      <c r="A151" s="412" t="s">
        <v>941</v>
      </c>
      <c r="B151" s="416">
        <f>'Sources of Funds Worksheet'!V8</f>
        <v>0</v>
      </c>
      <c r="C151" s="414"/>
      <c r="D151" s="403" t="s">
        <v>804</v>
      </c>
      <c r="E151" s="403"/>
    </row>
    <row r="152" spans="1:6" x14ac:dyDescent="0.2">
      <c r="A152" s="412" t="s">
        <v>942</v>
      </c>
      <c r="B152" s="417" t="str">
        <f>'Sources of Funds Worksheet'!K9</f>
        <v/>
      </c>
      <c r="C152" s="414"/>
      <c r="D152" s="403" t="s">
        <v>804</v>
      </c>
      <c r="E152" s="403"/>
    </row>
    <row r="153" spans="1:6" x14ac:dyDescent="0.2">
      <c r="A153" s="412" t="s">
        <v>943</v>
      </c>
      <c r="B153" s="418" t="str">
        <f>'Sources of Funds Worksheet'!P9</f>
        <v/>
      </c>
      <c r="C153" s="414"/>
      <c r="D153" s="403" t="s">
        <v>804</v>
      </c>
      <c r="E153" s="403"/>
    </row>
    <row r="154" spans="1:6" x14ac:dyDescent="0.2">
      <c r="A154" s="412" t="s">
        <v>1270</v>
      </c>
      <c r="B154" s="418">
        <v>14</v>
      </c>
      <c r="C154" s="414"/>
      <c r="D154" s="403"/>
      <c r="E154" s="403"/>
      <c r="F154" s="419"/>
    </row>
    <row r="155" spans="1:6" x14ac:dyDescent="0.2">
      <c r="A155" s="428" t="s">
        <v>944</v>
      </c>
      <c r="B155" s="428">
        <f>'Sources of Funds Worksheet'!B29</f>
        <v>0</v>
      </c>
      <c r="C155" s="428"/>
      <c r="D155" s="428" t="s">
        <v>945</v>
      </c>
      <c r="E155" s="404"/>
      <c r="F155" s="429"/>
    </row>
    <row r="156" spans="1:6" x14ac:dyDescent="0.2">
      <c r="A156" s="428" t="s">
        <v>946</v>
      </c>
      <c r="B156" s="430">
        <f>'Sources of Funds Worksheet'!S29</f>
        <v>16</v>
      </c>
      <c r="C156" s="428"/>
      <c r="D156" s="428" t="s">
        <v>945</v>
      </c>
      <c r="E156" s="404"/>
      <c r="F156" s="431"/>
    </row>
    <row r="157" spans="1:6" x14ac:dyDescent="0.2">
      <c r="A157" s="428" t="s">
        <v>947</v>
      </c>
      <c r="B157" s="432">
        <f>'Sources of Funds Worksheet'!D29</f>
        <v>0</v>
      </c>
      <c r="C157" s="428"/>
      <c r="D157" s="428" t="s">
        <v>945</v>
      </c>
      <c r="E157" s="404"/>
    </row>
    <row r="158" spans="1:6" x14ac:dyDescent="0.2">
      <c r="A158" s="428" t="s">
        <v>948</v>
      </c>
      <c r="B158" s="433">
        <v>0</v>
      </c>
      <c r="C158" s="428"/>
      <c r="D158" s="428" t="s">
        <v>945</v>
      </c>
      <c r="E158" s="404"/>
    </row>
    <row r="159" spans="1:6" x14ac:dyDescent="0.2">
      <c r="A159" s="428" t="s">
        <v>949</v>
      </c>
      <c r="B159" s="434">
        <v>0</v>
      </c>
      <c r="C159" s="428"/>
      <c r="D159" s="428" t="s">
        <v>945</v>
      </c>
      <c r="E159" s="404"/>
    </row>
    <row r="160" spans="1:6" x14ac:dyDescent="0.2">
      <c r="A160" s="428" t="s">
        <v>950</v>
      </c>
      <c r="B160" s="428" t="str">
        <f>'Sources of Funds Worksheet'!R29</f>
        <v>N</v>
      </c>
      <c r="C160" s="428"/>
      <c r="D160" s="428" t="s">
        <v>945</v>
      </c>
      <c r="E160" s="404"/>
      <c r="F160" s="435"/>
    </row>
    <row r="161" spans="1:6" x14ac:dyDescent="0.2">
      <c r="A161" s="436" t="s">
        <v>951</v>
      </c>
      <c r="B161" s="437" t="s">
        <v>945</v>
      </c>
      <c r="C161" s="437"/>
      <c r="D161" s="428" t="s">
        <v>945</v>
      </c>
      <c r="E161" s="404"/>
      <c r="F161" s="438"/>
    </row>
    <row r="162" spans="1:6" x14ac:dyDescent="0.2">
      <c r="A162" s="436" t="s">
        <v>952</v>
      </c>
      <c r="B162" s="439"/>
      <c r="C162" s="437"/>
      <c r="D162" s="428" t="s">
        <v>945</v>
      </c>
      <c r="E162" s="404"/>
    </row>
    <row r="163" spans="1:6" x14ac:dyDescent="0.2">
      <c r="A163" s="436" t="s">
        <v>953</v>
      </c>
      <c r="B163" s="440"/>
      <c r="C163" s="437"/>
      <c r="D163" s="428" t="s">
        <v>945</v>
      </c>
      <c r="E163" s="404"/>
    </row>
    <row r="164" spans="1:6" x14ac:dyDescent="0.2">
      <c r="A164" s="436" t="s">
        <v>954</v>
      </c>
      <c r="B164" s="441"/>
      <c r="C164" s="437"/>
      <c r="D164" s="428" t="s">
        <v>945</v>
      </c>
      <c r="E164" s="404"/>
    </row>
    <row r="165" spans="1:6" x14ac:dyDescent="0.2">
      <c r="A165" s="436" t="s">
        <v>1271</v>
      </c>
      <c r="B165" s="441">
        <v>15</v>
      </c>
      <c r="C165" s="437"/>
      <c r="D165" s="428"/>
      <c r="E165" s="404"/>
      <c r="F165" s="442"/>
    </row>
    <row r="166" spans="1:6" x14ac:dyDescent="0.2">
      <c r="A166" s="428" t="s">
        <v>955</v>
      </c>
      <c r="B166" s="428">
        <f>'Sources of Funds Worksheet'!A30</f>
        <v>0</v>
      </c>
      <c r="C166" s="428"/>
      <c r="D166" s="428" t="s">
        <v>945</v>
      </c>
      <c r="E166" s="404"/>
      <c r="F166" s="429"/>
    </row>
    <row r="167" spans="1:6" x14ac:dyDescent="0.2">
      <c r="A167" s="428" t="s">
        <v>956</v>
      </c>
      <c r="B167" s="443" t="str">
        <f>'Sources of Funds Worksheet'!S30</f>
        <v>NA</v>
      </c>
      <c r="C167" s="428"/>
      <c r="D167" s="428" t="s">
        <v>945</v>
      </c>
      <c r="E167" s="404"/>
      <c r="F167" s="431"/>
    </row>
    <row r="168" spans="1:6" x14ac:dyDescent="0.2">
      <c r="A168" s="428" t="s">
        <v>957</v>
      </c>
      <c r="B168" s="432">
        <f>'Sources of Funds Worksheet'!D30</f>
        <v>0</v>
      </c>
      <c r="C168" s="428"/>
      <c r="D168" s="428" t="s">
        <v>945</v>
      </c>
      <c r="E168" s="404"/>
    </row>
    <row r="169" spans="1:6" x14ac:dyDescent="0.2">
      <c r="A169" s="428" t="s">
        <v>958</v>
      </c>
      <c r="B169" s="433">
        <v>0</v>
      </c>
      <c r="C169" s="428"/>
      <c r="D169" s="428" t="s">
        <v>945</v>
      </c>
      <c r="E169" s="404"/>
    </row>
    <row r="170" spans="1:6" x14ac:dyDescent="0.2">
      <c r="A170" s="428" t="s">
        <v>959</v>
      </c>
      <c r="B170" s="434">
        <v>0</v>
      </c>
      <c r="C170" s="428"/>
      <c r="D170" s="428" t="s">
        <v>945</v>
      </c>
      <c r="E170" s="404"/>
    </row>
    <row r="171" spans="1:6" x14ac:dyDescent="0.2">
      <c r="A171" s="428" t="s">
        <v>960</v>
      </c>
      <c r="B171" s="428" t="str">
        <f>'Sources of Funds Worksheet'!R30</f>
        <v>N</v>
      </c>
      <c r="C171" s="428"/>
      <c r="D171" s="428" t="s">
        <v>945</v>
      </c>
      <c r="E171" s="404"/>
      <c r="F171" s="435"/>
    </row>
    <row r="172" spans="1:6" x14ac:dyDescent="0.2">
      <c r="A172" s="436" t="s">
        <v>961</v>
      </c>
      <c r="B172" s="437" t="s">
        <v>945</v>
      </c>
      <c r="C172" s="437"/>
      <c r="D172" s="428" t="s">
        <v>945</v>
      </c>
      <c r="E172" s="404"/>
      <c r="F172" s="438"/>
    </row>
    <row r="173" spans="1:6" x14ac:dyDescent="0.2">
      <c r="A173" s="436" t="s">
        <v>962</v>
      </c>
      <c r="B173" s="439"/>
      <c r="C173" s="437"/>
      <c r="D173" s="428" t="s">
        <v>945</v>
      </c>
      <c r="E173" s="404"/>
    </row>
    <row r="174" spans="1:6" x14ac:dyDescent="0.2">
      <c r="A174" s="436" t="s">
        <v>963</v>
      </c>
      <c r="B174" s="440"/>
      <c r="C174" s="437"/>
      <c r="D174" s="428" t="s">
        <v>945</v>
      </c>
      <c r="E174" s="404"/>
    </row>
    <row r="175" spans="1:6" x14ac:dyDescent="0.2">
      <c r="A175" s="436" t="s">
        <v>964</v>
      </c>
      <c r="B175" s="441"/>
      <c r="C175" s="437"/>
      <c r="D175" s="428" t="s">
        <v>945</v>
      </c>
      <c r="E175" s="404"/>
    </row>
    <row r="176" spans="1:6" x14ac:dyDescent="0.2">
      <c r="A176" s="436" t="s">
        <v>1272</v>
      </c>
      <c r="B176" s="441">
        <v>16</v>
      </c>
      <c r="C176" s="437"/>
      <c r="D176" s="428"/>
      <c r="E176" s="404"/>
      <c r="F176" s="442"/>
    </row>
    <row r="177" spans="1:6" x14ac:dyDescent="0.2">
      <c r="A177" s="428" t="s">
        <v>965</v>
      </c>
      <c r="B177" s="428">
        <f>'Sources of Funds Worksheet'!A31</f>
        <v>0</v>
      </c>
      <c r="C177" s="428"/>
      <c r="D177" s="428" t="s">
        <v>945</v>
      </c>
      <c r="E177" s="404"/>
      <c r="F177" s="429"/>
    </row>
    <row r="178" spans="1:6" x14ac:dyDescent="0.2">
      <c r="A178" s="428" t="s">
        <v>966</v>
      </c>
      <c r="B178" s="443" t="str">
        <f>'Sources of Funds Worksheet'!S31</f>
        <v>NA</v>
      </c>
      <c r="C178" s="428"/>
      <c r="D178" s="428" t="s">
        <v>945</v>
      </c>
      <c r="E178" s="404"/>
      <c r="F178" s="431"/>
    </row>
    <row r="179" spans="1:6" x14ac:dyDescent="0.2">
      <c r="A179" s="428" t="s">
        <v>967</v>
      </c>
      <c r="B179" s="432">
        <f>'Sources of Funds Worksheet'!D31</f>
        <v>0</v>
      </c>
      <c r="C179" s="428"/>
      <c r="D179" s="428" t="s">
        <v>945</v>
      </c>
      <c r="E179" s="404"/>
    </row>
    <row r="180" spans="1:6" x14ac:dyDescent="0.2">
      <c r="A180" s="428" t="s">
        <v>968</v>
      </c>
      <c r="B180" s="433">
        <v>0</v>
      </c>
      <c r="C180" s="428"/>
      <c r="D180" s="428" t="s">
        <v>945</v>
      </c>
      <c r="E180" s="404"/>
    </row>
    <row r="181" spans="1:6" x14ac:dyDescent="0.2">
      <c r="A181" s="428" t="s">
        <v>969</v>
      </c>
      <c r="B181" s="434">
        <v>0</v>
      </c>
      <c r="C181" s="428"/>
      <c r="D181" s="428" t="s">
        <v>945</v>
      </c>
      <c r="E181" s="404"/>
    </row>
    <row r="182" spans="1:6" x14ac:dyDescent="0.2">
      <c r="A182" s="428" t="s">
        <v>970</v>
      </c>
      <c r="B182" s="428" t="str">
        <f>'Sources of Funds Worksheet'!R31</f>
        <v>N</v>
      </c>
      <c r="C182" s="428"/>
      <c r="D182" s="428" t="s">
        <v>945</v>
      </c>
      <c r="E182" s="404"/>
      <c r="F182" s="435"/>
    </row>
    <row r="183" spans="1:6" x14ac:dyDescent="0.2">
      <c r="A183" s="436" t="s">
        <v>971</v>
      </c>
      <c r="B183" s="437" t="s">
        <v>945</v>
      </c>
      <c r="C183" s="437"/>
      <c r="D183" s="428" t="s">
        <v>945</v>
      </c>
      <c r="E183" s="404"/>
      <c r="F183" s="438"/>
    </row>
    <row r="184" spans="1:6" x14ac:dyDescent="0.2">
      <c r="A184" s="436" t="s">
        <v>972</v>
      </c>
      <c r="B184" s="439"/>
      <c r="C184" s="437"/>
      <c r="D184" s="428" t="s">
        <v>945</v>
      </c>
      <c r="E184" s="404"/>
    </row>
    <row r="185" spans="1:6" x14ac:dyDescent="0.2">
      <c r="A185" s="436" t="s">
        <v>973</v>
      </c>
      <c r="B185" s="440"/>
      <c r="C185" s="437"/>
      <c r="D185" s="428" t="s">
        <v>945</v>
      </c>
      <c r="E185" s="404"/>
    </row>
    <row r="186" spans="1:6" x14ac:dyDescent="0.2">
      <c r="A186" s="436" t="s">
        <v>974</v>
      </c>
      <c r="B186" s="441"/>
      <c r="C186" s="437"/>
      <c r="D186" s="428" t="s">
        <v>945</v>
      </c>
      <c r="E186" s="404"/>
    </row>
    <row r="187" spans="1:6" x14ac:dyDescent="0.2">
      <c r="A187" s="436" t="s">
        <v>1273</v>
      </c>
      <c r="B187" s="441">
        <v>17</v>
      </c>
      <c r="C187" s="437"/>
      <c r="D187" s="428"/>
      <c r="E187" s="404"/>
      <c r="F187" s="442"/>
    </row>
    <row r="188" spans="1:6" x14ac:dyDescent="0.2">
      <c r="A188" s="428" t="s">
        <v>975</v>
      </c>
      <c r="B188" s="428">
        <f>'Sources of Funds Worksheet'!A32</f>
        <v>0</v>
      </c>
      <c r="C188" s="428"/>
      <c r="D188" s="428" t="s">
        <v>945</v>
      </c>
      <c r="E188" s="404"/>
      <c r="F188" s="429"/>
    </row>
    <row r="189" spans="1:6" x14ac:dyDescent="0.2">
      <c r="A189" s="428" t="s">
        <v>976</v>
      </c>
      <c r="B189" s="443" t="str">
        <f>'Sources of Funds Worksheet'!S32</f>
        <v>NA</v>
      </c>
      <c r="C189" s="428"/>
      <c r="D189" s="428" t="s">
        <v>945</v>
      </c>
      <c r="E189" s="404"/>
      <c r="F189" s="431"/>
    </row>
    <row r="190" spans="1:6" x14ac:dyDescent="0.2">
      <c r="A190" s="428" t="s">
        <v>977</v>
      </c>
      <c r="B190" s="432">
        <f>'Sources of Funds Worksheet'!D32</f>
        <v>0</v>
      </c>
      <c r="C190" s="428"/>
      <c r="D190" s="428" t="s">
        <v>945</v>
      </c>
      <c r="E190" s="404"/>
    </row>
    <row r="191" spans="1:6" x14ac:dyDescent="0.2">
      <c r="A191" s="428" t="s">
        <v>978</v>
      </c>
      <c r="B191" s="433">
        <v>0</v>
      </c>
      <c r="C191" s="428"/>
      <c r="D191" s="428" t="s">
        <v>945</v>
      </c>
      <c r="E191" s="404"/>
    </row>
    <row r="192" spans="1:6" x14ac:dyDescent="0.2">
      <c r="A192" s="428" t="s">
        <v>979</v>
      </c>
      <c r="B192" s="434">
        <v>0</v>
      </c>
      <c r="C192" s="428"/>
      <c r="D192" s="428" t="s">
        <v>945</v>
      </c>
      <c r="E192" s="404"/>
    </row>
    <row r="193" spans="1:6" x14ac:dyDescent="0.2">
      <c r="A193" s="428" t="s">
        <v>980</v>
      </c>
      <c r="B193" s="428" t="str">
        <f>'Sources of Funds Worksheet'!R32</f>
        <v>N</v>
      </c>
      <c r="C193" s="428"/>
      <c r="D193" s="428" t="s">
        <v>945</v>
      </c>
      <c r="E193" s="404"/>
      <c r="F193" s="435"/>
    </row>
    <row r="194" spans="1:6" x14ac:dyDescent="0.2">
      <c r="A194" s="436" t="s">
        <v>981</v>
      </c>
      <c r="B194" s="437" t="s">
        <v>945</v>
      </c>
      <c r="C194" s="437"/>
      <c r="D194" s="428" t="s">
        <v>945</v>
      </c>
      <c r="E194" s="404"/>
      <c r="F194" s="438"/>
    </row>
    <row r="195" spans="1:6" x14ac:dyDescent="0.2">
      <c r="A195" s="436" t="s">
        <v>982</v>
      </c>
      <c r="B195" s="439"/>
      <c r="C195" s="437"/>
      <c r="D195" s="428" t="s">
        <v>945</v>
      </c>
      <c r="E195" s="404"/>
    </row>
    <row r="196" spans="1:6" x14ac:dyDescent="0.2">
      <c r="A196" s="436" t="s">
        <v>983</v>
      </c>
      <c r="B196" s="440"/>
      <c r="C196" s="437"/>
      <c r="D196" s="428" t="s">
        <v>945</v>
      </c>
      <c r="E196" s="404"/>
    </row>
    <row r="197" spans="1:6" x14ac:dyDescent="0.2">
      <c r="A197" s="436" t="s">
        <v>984</v>
      </c>
      <c r="B197" s="441"/>
      <c r="C197" s="437"/>
      <c r="D197" s="428" t="s">
        <v>945</v>
      </c>
      <c r="E197" s="404"/>
    </row>
    <row r="198" spans="1:6" x14ac:dyDescent="0.2">
      <c r="A198" s="436" t="s">
        <v>1274</v>
      </c>
      <c r="B198" s="441">
        <v>18</v>
      </c>
      <c r="C198" s="437"/>
      <c r="D198" s="428"/>
      <c r="E198" s="404"/>
      <c r="F198" s="442"/>
    </row>
    <row r="199" spans="1:6" x14ac:dyDescent="0.2">
      <c r="A199" s="428" t="s">
        <v>985</v>
      </c>
      <c r="B199" s="428">
        <f>'Sources of Funds Worksheet'!A33</f>
        <v>0</v>
      </c>
      <c r="C199" s="428"/>
      <c r="D199" s="428" t="s">
        <v>945</v>
      </c>
      <c r="E199" s="404"/>
      <c r="F199" s="429"/>
    </row>
    <row r="200" spans="1:6" x14ac:dyDescent="0.2">
      <c r="A200" s="428" t="s">
        <v>986</v>
      </c>
      <c r="B200" s="443" t="str">
        <f>'Sources of Funds Worksheet'!S33</f>
        <v>NA</v>
      </c>
      <c r="C200" s="428"/>
      <c r="D200" s="428" t="s">
        <v>945</v>
      </c>
      <c r="E200" s="404"/>
      <c r="F200" s="431"/>
    </row>
    <row r="201" spans="1:6" x14ac:dyDescent="0.2">
      <c r="A201" s="428" t="s">
        <v>987</v>
      </c>
      <c r="B201" s="432">
        <f>'Sources of Funds Worksheet'!D33</f>
        <v>0</v>
      </c>
      <c r="C201" s="428"/>
      <c r="D201" s="428" t="s">
        <v>945</v>
      </c>
      <c r="E201" s="404"/>
    </row>
    <row r="202" spans="1:6" x14ac:dyDescent="0.2">
      <c r="A202" s="428" t="s">
        <v>988</v>
      </c>
      <c r="B202" s="433">
        <v>0</v>
      </c>
      <c r="C202" s="428"/>
      <c r="D202" s="428" t="s">
        <v>945</v>
      </c>
      <c r="E202" s="404"/>
    </row>
    <row r="203" spans="1:6" x14ac:dyDescent="0.2">
      <c r="A203" s="428" t="s">
        <v>989</v>
      </c>
      <c r="B203" s="434">
        <v>0</v>
      </c>
      <c r="C203" s="428"/>
      <c r="D203" s="428" t="s">
        <v>945</v>
      </c>
      <c r="E203" s="404"/>
    </row>
    <row r="204" spans="1:6" x14ac:dyDescent="0.2">
      <c r="A204" s="428" t="s">
        <v>990</v>
      </c>
      <c r="B204" s="428" t="str">
        <f>'Sources of Funds Worksheet'!R33</f>
        <v>N</v>
      </c>
      <c r="C204" s="428"/>
      <c r="D204" s="428" t="s">
        <v>945</v>
      </c>
      <c r="E204" s="404"/>
      <c r="F204" s="435"/>
    </row>
    <row r="205" spans="1:6" x14ac:dyDescent="0.2">
      <c r="A205" s="436" t="s">
        <v>991</v>
      </c>
      <c r="B205" s="437" t="s">
        <v>945</v>
      </c>
      <c r="C205" s="437"/>
      <c r="D205" s="428" t="s">
        <v>945</v>
      </c>
      <c r="E205" s="404"/>
      <c r="F205" s="438"/>
    </row>
    <row r="206" spans="1:6" x14ac:dyDescent="0.2">
      <c r="A206" s="436" t="s">
        <v>992</v>
      </c>
      <c r="B206" s="439"/>
      <c r="C206" s="437"/>
      <c r="D206" s="428" t="s">
        <v>945</v>
      </c>
      <c r="E206" s="404"/>
    </row>
    <row r="207" spans="1:6" x14ac:dyDescent="0.2">
      <c r="A207" s="436" t="s">
        <v>993</v>
      </c>
      <c r="B207" s="440"/>
      <c r="C207" s="437"/>
      <c r="D207" s="428" t="s">
        <v>945</v>
      </c>
      <c r="E207" s="404"/>
    </row>
    <row r="208" spans="1:6" x14ac:dyDescent="0.2">
      <c r="A208" s="436" t="s">
        <v>994</v>
      </c>
      <c r="B208" s="441"/>
      <c r="C208" s="437"/>
      <c r="D208" s="428" t="s">
        <v>945</v>
      </c>
      <c r="E208" s="404"/>
    </row>
    <row r="209" spans="1:6" x14ac:dyDescent="0.2">
      <c r="A209" s="436" t="s">
        <v>1275</v>
      </c>
      <c r="B209" s="441">
        <v>19</v>
      </c>
      <c r="C209" s="437"/>
      <c r="D209" s="428"/>
      <c r="E209" s="404"/>
      <c r="F209" s="442"/>
    </row>
    <row r="210" spans="1:6" x14ac:dyDescent="0.2">
      <c r="A210" s="428" t="s">
        <v>995</v>
      </c>
      <c r="B210" s="428">
        <f>'Sources of Funds Worksheet'!A34</f>
        <v>0</v>
      </c>
      <c r="C210" s="428"/>
      <c r="D210" s="428" t="s">
        <v>945</v>
      </c>
      <c r="E210" s="404"/>
      <c r="F210" s="429"/>
    </row>
    <row r="211" spans="1:6" x14ac:dyDescent="0.2">
      <c r="A211" s="428" t="s">
        <v>996</v>
      </c>
      <c r="B211" s="443" t="str">
        <f>'Sources of Funds Worksheet'!S34</f>
        <v>NA</v>
      </c>
      <c r="C211" s="428"/>
      <c r="D211" s="428" t="s">
        <v>945</v>
      </c>
      <c r="E211" s="404"/>
      <c r="F211" s="431"/>
    </row>
    <row r="212" spans="1:6" x14ac:dyDescent="0.2">
      <c r="A212" s="428" t="s">
        <v>997</v>
      </c>
      <c r="B212" s="432">
        <f>'Sources of Funds Worksheet'!D34</f>
        <v>0</v>
      </c>
      <c r="C212" s="428"/>
      <c r="D212" s="428" t="s">
        <v>945</v>
      </c>
      <c r="E212" s="404"/>
    </row>
    <row r="213" spans="1:6" x14ac:dyDescent="0.2">
      <c r="A213" s="428" t="s">
        <v>998</v>
      </c>
      <c r="B213" s="433">
        <v>0</v>
      </c>
      <c r="C213" s="428"/>
      <c r="D213" s="428" t="s">
        <v>945</v>
      </c>
      <c r="E213" s="404"/>
    </row>
    <row r="214" spans="1:6" x14ac:dyDescent="0.2">
      <c r="A214" s="428" t="s">
        <v>999</v>
      </c>
      <c r="B214" s="434">
        <v>0</v>
      </c>
      <c r="C214" s="428"/>
      <c r="D214" s="428" t="s">
        <v>945</v>
      </c>
      <c r="E214" s="404"/>
    </row>
    <row r="215" spans="1:6" x14ac:dyDescent="0.2">
      <c r="A215" s="428" t="s">
        <v>1000</v>
      </c>
      <c r="B215" s="428" t="str">
        <f>'Sources of Funds Worksheet'!R34</f>
        <v>N</v>
      </c>
      <c r="C215" s="428"/>
      <c r="D215" s="428" t="s">
        <v>945</v>
      </c>
      <c r="E215" s="404"/>
      <c r="F215" s="435"/>
    </row>
    <row r="216" spans="1:6" x14ac:dyDescent="0.2">
      <c r="A216" s="436" t="s">
        <v>1001</v>
      </c>
      <c r="B216" s="437" t="s">
        <v>945</v>
      </c>
      <c r="C216" s="437"/>
      <c r="D216" s="428" t="s">
        <v>945</v>
      </c>
      <c r="E216" s="404"/>
      <c r="F216" s="438"/>
    </row>
    <row r="217" spans="1:6" x14ac:dyDescent="0.2">
      <c r="A217" s="436" t="s">
        <v>1002</v>
      </c>
      <c r="B217" s="439"/>
      <c r="C217" s="437"/>
      <c r="D217" s="428" t="s">
        <v>945</v>
      </c>
      <c r="E217" s="404"/>
    </row>
    <row r="218" spans="1:6" x14ac:dyDescent="0.2">
      <c r="A218" s="436" t="s">
        <v>1003</v>
      </c>
      <c r="B218" s="440"/>
      <c r="C218" s="437"/>
      <c r="D218" s="428" t="s">
        <v>945</v>
      </c>
      <c r="E218" s="404"/>
    </row>
    <row r="219" spans="1:6" x14ac:dyDescent="0.2">
      <c r="A219" s="436" t="s">
        <v>1004</v>
      </c>
      <c r="B219" s="441"/>
      <c r="C219" s="437"/>
      <c r="D219" s="428" t="s">
        <v>945</v>
      </c>
      <c r="E219" s="404"/>
    </row>
    <row r="220" spans="1:6" x14ac:dyDescent="0.2">
      <c r="A220" s="436" t="s">
        <v>1276</v>
      </c>
      <c r="B220" s="441">
        <v>20</v>
      </c>
      <c r="C220" s="437"/>
      <c r="D220" s="428"/>
      <c r="E220" s="404"/>
      <c r="F220" s="442"/>
    </row>
    <row r="221" spans="1:6" x14ac:dyDescent="0.2">
      <c r="A221" s="428" t="s">
        <v>1005</v>
      </c>
      <c r="B221" s="428">
        <f>'Sources of Funds Worksheet'!A35</f>
        <v>0</v>
      </c>
      <c r="C221" s="428"/>
      <c r="D221" s="428" t="s">
        <v>945</v>
      </c>
      <c r="E221" s="404"/>
      <c r="F221" s="429"/>
    </row>
    <row r="222" spans="1:6" x14ac:dyDescent="0.2">
      <c r="A222" s="428" t="s">
        <v>1006</v>
      </c>
      <c r="B222" s="443" t="str">
        <f>'Sources of Funds Worksheet'!S35</f>
        <v>NA</v>
      </c>
      <c r="C222" s="428"/>
      <c r="D222" s="428" t="s">
        <v>945</v>
      </c>
      <c r="E222" s="404"/>
    </row>
    <row r="223" spans="1:6" x14ac:dyDescent="0.2">
      <c r="A223" s="428" t="s">
        <v>1007</v>
      </c>
      <c r="B223" s="432">
        <f>'Sources of Funds Worksheet'!D35</f>
        <v>0</v>
      </c>
      <c r="C223" s="428"/>
      <c r="D223" s="428" t="s">
        <v>945</v>
      </c>
      <c r="E223" s="404"/>
    </row>
    <row r="224" spans="1:6" x14ac:dyDescent="0.2">
      <c r="A224" s="428" t="s">
        <v>1008</v>
      </c>
      <c r="B224" s="433">
        <v>0</v>
      </c>
      <c r="C224" s="428"/>
      <c r="D224" s="428" t="s">
        <v>945</v>
      </c>
      <c r="E224" s="404"/>
    </row>
    <row r="225" spans="1:6" x14ac:dyDescent="0.2">
      <c r="A225" s="428" t="s">
        <v>1009</v>
      </c>
      <c r="B225" s="434">
        <v>0</v>
      </c>
      <c r="C225" s="428"/>
      <c r="D225" s="428" t="s">
        <v>945</v>
      </c>
      <c r="E225" s="404"/>
    </row>
    <row r="226" spans="1:6" x14ac:dyDescent="0.2">
      <c r="A226" s="428" t="s">
        <v>1010</v>
      </c>
      <c r="B226" s="428" t="str">
        <f>'Sources of Funds Worksheet'!R35</f>
        <v>N</v>
      </c>
      <c r="C226" s="428"/>
      <c r="D226" s="428" t="s">
        <v>945</v>
      </c>
      <c r="E226" s="404"/>
    </row>
    <row r="227" spans="1:6" x14ac:dyDescent="0.2">
      <c r="A227" s="436" t="s">
        <v>1011</v>
      </c>
      <c r="B227" s="437" t="s">
        <v>945</v>
      </c>
      <c r="C227" s="437"/>
      <c r="D227" s="428" t="s">
        <v>945</v>
      </c>
      <c r="E227" s="404"/>
    </row>
    <row r="228" spans="1:6" x14ac:dyDescent="0.2">
      <c r="A228" s="436" t="s">
        <v>1012</v>
      </c>
      <c r="B228" s="439"/>
      <c r="C228" s="437"/>
      <c r="D228" s="428" t="s">
        <v>945</v>
      </c>
      <c r="E228" s="404"/>
    </row>
    <row r="229" spans="1:6" x14ac:dyDescent="0.2">
      <c r="A229" s="436" t="s">
        <v>1013</v>
      </c>
      <c r="B229" s="440"/>
      <c r="C229" s="437"/>
      <c r="D229" s="428" t="s">
        <v>945</v>
      </c>
      <c r="E229" s="404"/>
    </row>
    <row r="230" spans="1:6" x14ac:dyDescent="0.2">
      <c r="A230" s="436" t="s">
        <v>1014</v>
      </c>
      <c r="B230" s="441"/>
      <c r="C230" s="437"/>
      <c r="D230" s="428" t="s">
        <v>945</v>
      </c>
      <c r="E230" s="404"/>
    </row>
    <row r="231" spans="1:6" x14ac:dyDescent="0.2">
      <c r="A231" s="436" t="s">
        <v>1277</v>
      </c>
      <c r="B231" s="441">
        <v>21</v>
      </c>
      <c r="C231" s="437"/>
      <c r="D231" s="428"/>
      <c r="E231" s="404"/>
      <c r="F231" s="442"/>
    </row>
    <row r="232" spans="1:6" x14ac:dyDescent="0.2">
      <c r="A232" s="428" t="s">
        <v>1015</v>
      </c>
      <c r="B232" s="428">
        <f>'Sources of Funds Worksheet'!A36</f>
        <v>0</v>
      </c>
      <c r="C232" s="428"/>
      <c r="D232" s="428" t="s">
        <v>945</v>
      </c>
      <c r="E232" s="404"/>
      <c r="F232" s="429"/>
    </row>
    <row r="233" spans="1:6" x14ac:dyDescent="0.2">
      <c r="A233" s="428" t="s">
        <v>1016</v>
      </c>
      <c r="B233" s="443" t="str">
        <f>'Sources of Funds Worksheet'!S36</f>
        <v>NA</v>
      </c>
      <c r="C233" s="428"/>
      <c r="D233" s="428" t="s">
        <v>945</v>
      </c>
      <c r="E233" s="404"/>
      <c r="F233" s="431"/>
    </row>
    <row r="234" spans="1:6" x14ac:dyDescent="0.2">
      <c r="A234" s="428" t="s">
        <v>1017</v>
      </c>
      <c r="B234" s="432">
        <f>'Sources of Funds Worksheet'!D36</f>
        <v>0</v>
      </c>
      <c r="C234" s="428"/>
      <c r="D234" s="428" t="s">
        <v>945</v>
      </c>
      <c r="E234" s="404"/>
    </row>
    <row r="235" spans="1:6" x14ac:dyDescent="0.2">
      <c r="A235" s="428" t="s">
        <v>1018</v>
      </c>
      <c r="B235" s="433">
        <v>0</v>
      </c>
      <c r="C235" s="428"/>
      <c r="D235" s="428" t="s">
        <v>945</v>
      </c>
      <c r="E235" s="404"/>
    </row>
    <row r="236" spans="1:6" x14ac:dyDescent="0.2">
      <c r="A236" s="428" t="s">
        <v>1019</v>
      </c>
      <c r="B236" s="434">
        <v>0</v>
      </c>
      <c r="C236" s="428"/>
      <c r="D236" s="428" t="s">
        <v>945</v>
      </c>
      <c r="E236" s="404"/>
    </row>
    <row r="237" spans="1:6" x14ac:dyDescent="0.2">
      <c r="A237" s="428" t="s">
        <v>1020</v>
      </c>
      <c r="B237" s="428" t="str">
        <f>'Sources of Funds Worksheet'!R36</f>
        <v>N</v>
      </c>
      <c r="C237" s="428"/>
      <c r="D237" s="428" t="s">
        <v>945</v>
      </c>
      <c r="E237" s="404"/>
      <c r="F237" s="435"/>
    </row>
    <row r="238" spans="1:6" x14ac:dyDescent="0.2">
      <c r="A238" s="436" t="s">
        <v>1021</v>
      </c>
      <c r="B238" s="437" t="s">
        <v>945</v>
      </c>
      <c r="C238" s="437"/>
      <c r="D238" s="428" t="s">
        <v>945</v>
      </c>
      <c r="E238" s="404"/>
      <c r="F238" s="438"/>
    </row>
    <row r="239" spans="1:6" x14ac:dyDescent="0.2">
      <c r="A239" s="436" t="s">
        <v>1022</v>
      </c>
      <c r="B239" s="439"/>
      <c r="C239" s="437"/>
      <c r="D239" s="428" t="s">
        <v>945</v>
      </c>
      <c r="E239" s="404"/>
    </row>
    <row r="240" spans="1:6" x14ac:dyDescent="0.2">
      <c r="A240" s="436" t="s">
        <v>1023</v>
      </c>
      <c r="B240" s="440"/>
      <c r="C240" s="437"/>
      <c r="D240" s="428" t="s">
        <v>945</v>
      </c>
      <c r="E240" s="404"/>
    </row>
    <row r="241" spans="1:6" x14ac:dyDescent="0.2">
      <c r="A241" s="436" t="s">
        <v>1024</v>
      </c>
      <c r="B241" s="441"/>
      <c r="C241" s="437"/>
      <c r="D241" s="428" t="s">
        <v>945</v>
      </c>
      <c r="E241" s="404"/>
    </row>
    <row r="242" spans="1:6" x14ac:dyDescent="0.2">
      <c r="A242" s="436" t="s">
        <v>1278</v>
      </c>
      <c r="B242" s="441">
        <v>22</v>
      </c>
      <c r="C242" s="437"/>
      <c r="D242" s="428"/>
      <c r="E242" s="404"/>
      <c r="F242" s="442"/>
    </row>
    <row r="243" spans="1:6" x14ac:dyDescent="0.2">
      <c r="A243" s="428" t="s">
        <v>1025</v>
      </c>
      <c r="B243" s="428">
        <f>'Sources of Funds Worksheet'!A37</f>
        <v>0</v>
      </c>
      <c r="C243" s="428"/>
      <c r="D243" s="428" t="s">
        <v>945</v>
      </c>
      <c r="E243" s="404"/>
      <c r="F243" s="429"/>
    </row>
    <row r="244" spans="1:6" x14ac:dyDescent="0.2">
      <c r="A244" s="428" t="s">
        <v>1026</v>
      </c>
      <c r="B244" s="443" t="str">
        <f>'Sources of Funds Worksheet'!S37</f>
        <v>NA</v>
      </c>
      <c r="C244" s="428"/>
      <c r="D244" s="428" t="s">
        <v>945</v>
      </c>
      <c r="E244" s="404"/>
      <c r="F244" s="431"/>
    </row>
    <row r="245" spans="1:6" x14ac:dyDescent="0.2">
      <c r="A245" s="428" t="s">
        <v>1027</v>
      </c>
      <c r="B245" s="432">
        <f>'Sources of Funds Worksheet'!D37</f>
        <v>0</v>
      </c>
      <c r="C245" s="428"/>
      <c r="D245" s="428" t="s">
        <v>945</v>
      </c>
      <c r="E245" s="404"/>
    </row>
    <row r="246" spans="1:6" x14ac:dyDescent="0.2">
      <c r="A246" s="428" t="s">
        <v>1028</v>
      </c>
      <c r="B246" s="433">
        <v>0</v>
      </c>
      <c r="C246" s="428"/>
      <c r="D246" s="428" t="s">
        <v>945</v>
      </c>
      <c r="E246" s="404"/>
    </row>
    <row r="247" spans="1:6" x14ac:dyDescent="0.2">
      <c r="A247" s="428" t="s">
        <v>1029</v>
      </c>
      <c r="B247" s="434">
        <v>0</v>
      </c>
      <c r="C247" s="428"/>
      <c r="D247" s="428" t="s">
        <v>945</v>
      </c>
      <c r="E247" s="404"/>
    </row>
    <row r="248" spans="1:6" x14ac:dyDescent="0.2">
      <c r="A248" s="428" t="s">
        <v>1030</v>
      </c>
      <c r="B248" s="428" t="str">
        <f>'Sources of Funds Worksheet'!R37</f>
        <v>N</v>
      </c>
      <c r="C248" s="428"/>
      <c r="D248" s="428" t="s">
        <v>945</v>
      </c>
      <c r="E248" s="404"/>
      <c r="F248" s="435"/>
    </row>
    <row r="249" spans="1:6" x14ac:dyDescent="0.2">
      <c r="A249" s="436" t="s">
        <v>1031</v>
      </c>
      <c r="B249" s="437" t="s">
        <v>945</v>
      </c>
      <c r="C249" s="437"/>
      <c r="D249" s="428" t="s">
        <v>945</v>
      </c>
      <c r="E249" s="404"/>
      <c r="F249" s="438"/>
    </row>
    <row r="250" spans="1:6" x14ac:dyDescent="0.2">
      <c r="A250" s="436" t="s">
        <v>1032</v>
      </c>
      <c r="B250" s="439"/>
      <c r="C250" s="437"/>
      <c r="D250" s="428" t="s">
        <v>945</v>
      </c>
      <c r="E250" s="404"/>
    </row>
    <row r="251" spans="1:6" x14ac:dyDescent="0.2">
      <c r="A251" s="436" t="s">
        <v>1033</v>
      </c>
      <c r="B251" s="440"/>
      <c r="C251" s="437"/>
      <c r="D251" s="428" t="s">
        <v>945</v>
      </c>
      <c r="E251" s="404"/>
    </row>
    <row r="252" spans="1:6" x14ac:dyDescent="0.2">
      <c r="A252" s="436" t="s">
        <v>1034</v>
      </c>
      <c r="B252" s="441"/>
      <c r="C252" s="437"/>
      <c r="D252" s="428" t="s">
        <v>945</v>
      </c>
      <c r="E252" s="404"/>
    </row>
    <row r="253" spans="1:6" x14ac:dyDescent="0.2">
      <c r="A253" s="436" t="s">
        <v>1279</v>
      </c>
      <c r="B253" s="441">
        <v>23</v>
      </c>
      <c r="C253" s="437"/>
      <c r="D253" s="428"/>
      <c r="E253" s="404"/>
      <c r="F253" s="442"/>
    </row>
    <row r="254" spans="1:6" ht="12" customHeight="1" x14ac:dyDescent="0.2">
      <c r="A254" s="428" t="s">
        <v>1035</v>
      </c>
      <c r="B254" s="428">
        <f>'Sources of Funds Worksheet'!A38</f>
        <v>0</v>
      </c>
      <c r="C254" s="428"/>
      <c r="D254" s="428" t="s">
        <v>945</v>
      </c>
      <c r="E254" s="404"/>
      <c r="F254" s="429"/>
    </row>
    <row r="255" spans="1:6" x14ac:dyDescent="0.2">
      <c r="A255" s="428" t="s">
        <v>1036</v>
      </c>
      <c r="B255" s="443" t="str">
        <f>'Sources of Funds Worksheet'!S38</f>
        <v>NA</v>
      </c>
      <c r="C255" s="428"/>
      <c r="D255" s="428" t="s">
        <v>945</v>
      </c>
      <c r="E255" s="404"/>
      <c r="F255" s="431"/>
    </row>
    <row r="256" spans="1:6" x14ac:dyDescent="0.2">
      <c r="A256" s="428" t="s">
        <v>1037</v>
      </c>
      <c r="B256" s="432">
        <f>'Sources of Funds Worksheet'!D38</f>
        <v>0</v>
      </c>
      <c r="C256" s="428"/>
      <c r="D256" s="428" t="s">
        <v>945</v>
      </c>
      <c r="E256" s="404"/>
    </row>
    <row r="257" spans="1:6" x14ac:dyDescent="0.2">
      <c r="A257" s="428" t="s">
        <v>1038</v>
      </c>
      <c r="B257" s="433">
        <v>0</v>
      </c>
      <c r="C257" s="428"/>
      <c r="D257" s="428" t="s">
        <v>945</v>
      </c>
      <c r="E257" s="404"/>
    </row>
    <row r="258" spans="1:6" x14ac:dyDescent="0.2">
      <c r="A258" s="428" t="s">
        <v>1039</v>
      </c>
      <c r="B258" s="434">
        <v>0</v>
      </c>
      <c r="C258" s="428"/>
      <c r="D258" s="428" t="s">
        <v>945</v>
      </c>
      <c r="E258" s="404"/>
    </row>
    <row r="259" spans="1:6" x14ac:dyDescent="0.2">
      <c r="A259" s="428" t="s">
        <v>1040</v>
      </c>
      <c r="B259" s="428" t="str">
        <f>'Sources of Funds Worksheet'!R38</f>
        <v>N</v>
      </c>
      <c r="C259" s="428"/>
      <c r="D259" s="428" t="s">
        <v>945</v>
      </c>
      <c r="E259" s="404"/>
      <c r="F259" s="435"/>
    </row>
    <row r="260" spans="1:6" x14ac:dyDescent="0.2">
      <c r="A260" s="436" t="s">
        <v>1041</v>
      </c>
      <c r="B260" s="437" t="s">
        <v>945</v>
      </c>
      <c r="C260" s="437"/>
      <c r="D260" s="428" t="s">
        <v>945</v>
      </c>
      <c r="E260" s="404"/>
      <c r="F260" s="438"/>
    </row>
    <row r="261" spans="1:6" x14ac:dyDescent="0.2">
      <c r="A261" s="436" t="s">
        <v>1042</v>
      </c>
      <c r="B261" s="439"/>
      <c r="C261" s="437"/>
      <c r="D261" s="428" t="s">
        <v>945</v>
      </c>
      <c r="E261" s="404"/>
    </row>
    <row r="262" spans="1:6" x14ac:dyDescent="0.2">
      <c r="A262" s="436" t="s">
        <v>1043</v>
      </c>
      <c r="B262" s="440"/>
      <c r="C262" s="437"/>
      <c r="D262" s="428" t="s">
        <v>945</v>
      </c>
      <c r="E262" s="404"/>
    </row>
    <row r="263" spans="1:6" x14ac:dyDescent="0.2">
      <c r="A263" s="436" t="s">
        <v>1044</v>
      </c>
      <c r="B263" s="441"/>
      <c r="C263" s="437"/>
      <c r="D263" s="428" t="s">
        <v>945</v>
      </c>
      <c r="E263" s="404"/>
    </row>
    <row r="264" spans="1:6" x14ac:dyDescent="0.2">
      <c r="A264" s="436" t="s">
        <v>1280</v>
      </c>
      <c r="B264" s="441">
        <v>24</v>
      </c>
      <c r="C264" s="437"/>
      <c r="D264" s="428"/>
      <c r="E264" s="404"/>
      <c r="F264" s="442"/>
    </row>
    <row r="265" spans="1:6" x14ac:dyDescent="0.2">
      <c r="A265" s="428" t="s">
        <v>1045</v>
      </c>
      <c r="B265" s="428">
        <f>'Sources of Funds Worksheet'!A39</f>
        <v>0</v>
      </c>
      <c r="C265" s="428"/>
      <c r="D265" s="428" t="s">
        <v>945</v>
      </c>
      <c r="E265" s="404"/>
      <c r="F265" s="429"/>
    </row>
    <row r="266" spans="1:6" x14ac:dyDescent="0.2">
      <c r="A266" s="428" t="s">
        <v>1046</v>
      </c>
      <c r="B266" s="443" t="str">
        <f>'Sources of Funds Worksheet'!S39</f>
        <v>NA</v>
      </c>
      <c r="C266" s="428"/>
      <c r="D266" s="428" t="s">
        <v>945</v>
      </c>
      <c r="E266" s="404"/>
      <c r="F266" s="431"/>
    </row>
    <row r="267" spans="1:6" x14ac:dyDescent="0.2">
      <c r="A267" s="428" t="s">
        <v>1047</v>
      </c>
      <c r="B267" s="432">
        <f>'Sources of Funds Worksheet'!D39</f>
        <v>0</v>
      </c>
      <c r="C267" s="428"/>
      <c r="D267" s="428" t="s">
        <v>945</v>
      </c>
      <c r="E267" s="404"/>
    </row>
    <row r="268" spans="1:6" x14ac:dyDescent="0.2">
      <c r="A268" s="428" t="s">
        <v>1048</v>
      </c>
      <c r="B268" s="433">
        <v>0</v>
      </c>
      <c r="C268" s="428"/>
      <c r="D268" s="428" t="s">
        <v>945</v>
      </c>
      <c r="E268" s="404"/>
    </row>
    <row r="269" spans="1:6" x14ac:dyDescent="0.2">
      <c r="A269" s="428" t="s">
        <v>1049</v>
      </c>
      <c r="B269" s="434">
        <v>0</v>
      </c>
      <c r="C269" s="428"/>
      <c r="D269" s="428" t="s">
        <v>945</v>
      </c>
      <c r="E269" s="404"/>
    </row>
    <row r="270" spans="1:6" x14ac:dyDescent="0.2">
      <c r="A270" s="428" t="s">
        <v>1050</v>
      </c>
      <c r="B270" s="428" t="str">
        <f>'Sources of Funds Worksheet'!R39</f>
        <v>N</v>
      </c>
      <c r="C270" s="428"/>
      <c r="D270" s="428" t="s">
        <v>945</v>
      </c>
      <c r="E270" s="404"/>
      <c r="F270" s="435"/>
    </row>
    <row r="271" spans="1:6" x14ac:dyDescent="0.2">
      <c r="A271" s="436" t="s">
        <v>1051</v>
      </c>
      <c r="B271" s="437" t="s">
        <v>945</v>
      </c>
      <c r="C271" s="437"/>
      <c r="D271" s="428" t="s">
        <v>945</v>
      </c>
      <c r="E271" s="404"/>
      <c r="F271" s="438"/>
    </row>
    <row r="272" spans="1:6" x14ac:dyDescent="0.2">
      <c r="A272" s="436" t="s">
        <v>1052</v>
      </c>
      <c r="B272" s="439"/>
      <c r="C272" s="437"/>
      <c r="D272" s="428" t="s">
        <v>945</v>
      </c>
      <c r="E272" s="404"/>
    </row>
    <row r="273" spans="1:6" x14ac:dyDescent="0.2">
      <c r="A273" s="436" t="s">
        <v>1053</v>
      </c>
      <c r="B273" s="440"/>
      <c r="C273" s="437"/>
      <c r="D273" s="428" t="s">
        <v>945</v>
      </c>
      <c r="E273" s="404"/>
    </row>
    <row r="274" spans="1:6" x14ac:dyDescent="0.2">
      <c r="A274" s="436" t="s">
        <v>1054</v>
      </c>
      <c r="B274" s="441"/>
      <c r="C274" s="437"/>
      <c r="D274" s="428" t="s">
        <v>945</v>
      </c>
      <c r="E274" s="404"/>
    </row>
    <row r="275" spans="1:6" x14ac:dyDescent="0.2">
      <c r="A275" s="436" t="s">
        <v>1281</v>
      </c>
      <c r="B275" s="441">
        <v>25</v>
      </c>
      <c r="C275" s="437"/>
      <c r="D275" s="428"/>
      <c r="E275" s="404"/>
      <c r="F275" s="442"/>
    </row>
    <row r="276" spans="1:6" x14ac:dyDescent="0.2">
      <c r="A276" s="428" t="s">
        <v>1055</v>
      </c>
      <c r="B276" s="428">
        <f>'Sources of Funds Worksheet'!A40</f>
        <v>0</v>
      </c>
      <c r="C276" s="428"/>
      <c r="D276" s="428" t="s">
        <v>945</v>
      </c>
      <c r="E276" s="404"/>
      <c r="F276" s="429"/>
    </row>
    <row r="277" spans="1:6" x14ac:dyDescent="0.2">
      <c r="A277" s="428" t="s">
        <v>1056</v>
      </c>
      <c r="B277" s="443" t="str">
        <f>'Sources of Funds Worksheet'!S40</f>
        <v>NA</v>
      </c>
      <c r="C277" s="428"/>
      <c r="D277" s="428" t="s">
        <v>945</v>
      </c>
      <c r="E277" s="404"/>
      <c r="F277" s="431"/>
    </row>
    <row r="278" spans="1:6" x14ac:dyDescent="0.2">
      <c r="A278" s="428" t="s">
        <v>1057</v>
      </c>
      <c r="B278" s="432">
        <f>'Sources of Funds Worksheet'!D40</f>
        <v>0</v>
      </c>
      <c r="C278" s="428"/>
      <c r="D278" s="428" t="s">
        <v>945</v>
      </c>
      <c r="E278" s="404"/>
    </row>
    <row r="279" spans="1:6" x14ac:dyDescent="0.2">
      <c r="A279" s="428" t="s">
        <v>1058</v>
      </c>
      <c r="B279" s="433">
        <v>0</v>
      </c>
      <c r="C279" s="428"/>
      <c r="D279" s="428" t="s">
        <v>945</v>
      </c>
      <c r="E279" s="404"/>
    </row>
    <row r="280" spans="1:6" x14ac:dyDescent="0.2">
      <c r="A280" s="428" t="s">
        <v>1059</v>
      </c>
      <c r="B280" s="434">
        <v>0</v>
      </c>
      <c r="C280" s="428"/>
      <c r="D280" s="428" t="s">
        <v>945</v>
      </c>
      <c r="E280" s="404"/>
    </row>
    <row r="281" spans="1:6" x14ac:dyDescent="0.2">
      <c r="A281" s="428" t="s">
        <v>1060</v>
      </c>
      <c r="B281" s="428" t="str">
        <f>'Sources of Funds Worksheet'!R40</f>
        <v>N</v>
      </c>
      <c r="C281" s="428"/>
      <c r="D281" s="428" t="s">
        <v>945</v>
      </c>
      <c r="E281" s="404"/>
      <c r="F281" s="435"/>
    </row>
    <row r="282" spans="1:6" x14ac:dyDescent="0.2">
      <c r="A282" s="436" t="s">
        <v>1061</v>
      </c>
      <c r="B282" s="437" t="s">
        <v>945</v>
      </c>
      <c r="C282" s="437"/>
      <c r="D282" s="428" t="s">
        <v>945</v>
      </c>
      <c r="E282" s="404"/>
      <c r="F282" s="438"/>
    </row>
    <row r="283" spans="1:6" x14ac:dyDescent="0.2">
      <c r="A283" s="436" t="s">
        <v>1062</v>
      </c>
      <c r="B283" s="439"/>
      <c r="C283" s="437"/>
      <c r="D283" s="428" t="s">
        <v>945</v>
      </c>
      <c r="E283" s="404"/>
    </row>
    <row r="284" spans="1:6" x14ac:dyDescent="0.2">
      <c r="A284" s="436" t="s">
        <v>1063</v>
      </c>
      <c r="B284" s="440"/>
      <c r="C284" s="437"/>
      <c r="D284" s="428" t="s">
        <v>945</v>
      </c>
      <c r="E284" s="404"/>
    </row>
    <row r="285" spans="1:6" x14ac:dyDescent="0.2">
      <c r="A285" s="436" t="s">
        <v>1064</v>
      </c>
      <c r="B285" s="441"/>
      <c r="C285" s="437"/>
      <c r="D285" s="428" t="s">
        <v>945</v>
      </c>
      <c r="E285" s="404"/>
    </row>
    <row r="286" spans="1:6" x14ac:dyDescent="0.2">
      <c r="A286" s="436" t="s">
        <v>1282</v>
      </c>
      <c r="B286" s="441">
        <v>26</v>
      </c>
      <c r="C286" s="437"/>
      <c r="D286" s="428"/>
      <c r="E286" s="404"/>
      <c r="F286" s="442"/>
    </row>
    <row r="287" spans="1:6" x14ac:dyDescent="0.2">
      <c r="A287" s="428" t="s">
        <v>1065</v>
      </c>
      <c r="B287" s="428">
        <v>0</v>
      </c>
      <c r="C287" s="428"/>
      <c r="D287" s="428" t="s">
        <v>945</v>
      </c>
      <c r="E287" s="404"/>
      <c r="F287" s="429"/>
    </row>
    <row r="288" spans="1:6" x14ac:dyDescent="0.2">
      <c r="A288" s="428" t="s">
        <v>1066</v>
      </c>
      <c r="B288" s="673" t="s">
        <v>1474</v>
      </c>
      <c r="C288" s="428"/>
      <c r="D288" s="428" t="s">
        <v>945</v>
      </c>
      <c r="E288" s="404"/>
      <c r="F288" s="431"/>
    </row>
    <row r="289" spans="1:6" x14ac:dyDescent="0.2">
      <c r="A289" s="428" t="s">
        <v>1067</v>
      </c>
      <c r="B289" s="432">
        <v>0</v>
      </c>
      <c r="C289" s="428"/>
      <c r="D289" s="428" t="s">
        <v>945</v>
      </c>
      <c r="E289" s="404"/>
    </row>
    <row r="290" spans="1:6" x14ac:dyDescent="0.2">
      <c r="A290" s="428" t="s">
        <v>1068</v>
      </c>
      <c r="B290" s="433">
        <v>0</v>
      </c>
      <c r="C290" s="428"/>
      <c r="D290" s="428" t="s">
        <v>945</v>
      </c>
      <c r="E290" s="404"/>
    </row>
    <row r="291" spans="1:6" x14ac:dyDescent="0.2">
      <c r="A291" s="428" t="s">
        <v>1069</v>
      </c>
      <c r="B291" s="434">
        <v>0</v>
      </c>
      <c r="C291" s="428"/>
      <c r="D291" s="428" t="s">
        <v>945</v>
      </c>
      <c r="E291" s="404"/>
    </row>
    <row r="292" spans="1:6" x14ac:dyDescent="0.2">
      <c r="A292" s="428" t="s">
        <v>1070</v>
      </c>
      <c r="B292" s="428">
        <v>0</v>
      </c>
      <c r="C292" s="428"/>
      <c r="D292" s="428" t="s">
        <v>945</v>
      </c>
      <c r="E292" s="404"/>
      <c r="F292" s="435"/>
    </row>
    <row r="293" spans="1:6" x14ac:dyDescent="0.2">
      <c r="A293" s="436" t="s">
        <v>1071</v>
      </c>
      <c r="B293" s="437" t="s">
        <v>945</v>
      </c>
      <c r="C293" s="437"/>
      <c r="D293" s="428" t="s">
        <v>945</v>
      </c>
      <c r="E293" s="404"/>
      <c r="F293" s="438"/>
    </row>
    <row r="294" spans="1:6" x14ac:dyDescent="0.2">
      <c r="A294" s="436" t="s">
        <v>1072</v>
      </c>
      <c r="B294" s="439"/>
      <c r="C294" s="437"/>
      <c r="D294" s="428" t="s">
        <v>945</v>
      </c>
      <c r="E294" s="404"/>
    </row>
    <row r="295" spans="1:6" x14ac:dyDescent="0.2">
      <c r="A295" s="436" t="s">
        <v>1073</v>
      </c>
      <c r="B295" s="440"/>
      <c r="C295" s="437"/>
      <c r="D295" s="428" t="s">
        <v>945</v>
      </c>
      <c r="E295" s="404"/>
    </row>
    <row r="296" spans="1:6" x14ac:dyDescent="0.2">
      <c r="A296" s="436" t="s">
        <v>1074</v>
      </c>
      <c r="B296" s="441"/>
      <c r="C296" s="437"/>
      <c r="D296" s="428" t="s">
        <v>945</v>
      </c>
      <c r="E296" s="404"/>
    </row>
    <row r="297" spans="1:6" x14ac:dyDescent="0.2">
      <c r="A297" s="436" t="s">
        <v>1283</v>
      </c>
      <c r="B297" s="441">
        <v>27</v>
      </c>
      <c r="C297" s="437"/>
      <c r="D297" s="428"/>
      <c r="E297" s="404"/>
      <c r="F297" s="442"/>
    </row>
    <row r="298" spans="1:6" x14ac:dyDescent="0.2">
      <c r="A298" s="402" t="s">
        <v>1075</v>
      </c>
      <c r="B298" s="444">
        <f>'Project Information'!M17</f>
        <v>0</v>
      </c>
      <c r="C298" s="402" t="s">
        <v>1076</v>
      </c>
      <c r="D298" s="445" t="s">
        <v>1297</v>
      </c>
      <c r="E298" s="404"/>
    </row>
    <row r="299" spans="1:6" x14ac:dyDescent="0.2">
      <c r="A299" s="402" t="s">
        <v>1077</v>
      </c>
      <c r="B299" s="444">
        <f>'Project Information'!M18</f>
        <v>0</v>
      </c>
      <c r="C299" s="402" t="s">
        <v>1076</v>
      </c>
      <c r="D299" s="445" t="s">
        <v>1298</v>
      </c>
      <c r="E299" s="404"/>
    </row>
    <row r="300" spans="1:6" x14ac:dyDescent="0.2">
      <c r="A300" s="402" t="s">
        <v>1078</v>
      </c>
      <c r="B300" s="444">
        <f>'Rental Project Worksheet'!R41</f>
        <v>0</v>
      </c>
      <c r="C300" s="402" t="s">
        <v>1076</v>
      </c>
      <c r="D300" s="445" t="s">
        <v>1427</v>
      </c>
      <c r="E300" s="403"/>
    </row>
    <row r="301" spans="1:6" x14ac:dyDescent="0.2">
      <c r="A301" s="402" t="s">
        <v>1079</v>
      </c>
      <c r="B301" s="444">
        <f>'Rental Project Worksheet'!R42</f>
        <v>0</v>
      </c>
      <c r="C301" s="402" t="s">
        <v>1076</v>
      </c>
      <c r="D301" s="445" t="s">
        <v>1426</v>
      </c>
      <c r="E301" s="403"/>
    </row>
    <row r="302" spans="1:6" x14ac:dyDescent="0.2">
      <c r="A302" s="402" t="s">
        <v>1080</v>
      </c>
      <c r="B302" s="444">
        <f>'Rental Project Worksheet'!R43</f>
        <v>0</v>
      </c>
      <c r="C302" s="402" t="s">
        <v>1076</v>
      </c>
      <c r="D302" s="445" t="s">
        <v>1428</v>
      </c>
      <c r="E302" s="403"/>
    </row>
    <row r="303" spans="1:6" x14ac:dyDescent="0.2">
      <c r="A303" s="402" t="s">
        <v>1081</v>
      </c>
      <c r="B303" s="444">
        <f>'Rental Project Worksheet'!R44</f>
        <v>0</v>
      </c>
      <c r="C303" s="402" t="s">
        <v>1076</v>
      </c>
      <c r="D303" s="445" t="s">
        <v>1429</v>
      </c>
      <c r="E303" s="403"/>
    </row>
    <row r="304" spans="1:6" x14ac:dyDescent="0.2">
      <c r="A304" s="424" t="s">
        <v>1082</v>
      </c>
      <c r="B304" s="444">
        <f>'Rental Project Worksheet'!R22</f>
        <v>0</v>
      </c>
      <c r="C304" s="402" t="s">
        <v>1076</v>
      </c>
      <c r="D304" s="446" t="s">
        <v>1430</v>
      </c>
      <c r="E304" s="403"/>
    </row>
    <row r="305" spans="1:7" x14ac:dyDescent="0.2">
      <c r="A305" s="402" t="s">
        <v>1083</v>
      </c>
      <c r="B305" s="444">
        <f>'Rental Project Worksheet'!R24</f>
        <v>0</v>
      </c>
      <c r="C305" s="402" t="s">
        <v>1076</v>
      </c>
      <c r="D305" s="446" t="s">
        <v>1431</v>
      </c>
      <c r="E305" s="403"/>
    </row>
    <row r="306" spans="1:7" x14ac:dyDescent="0.2">
      <c r="A306" s="402" t="s">
        <v>1084</v>
      </c>
      <c r="B306" s="444">
        <f>'Rental Project Worksheet'!R26</f>
        <v>0</v>
      </c>
      <c r="C306" s="402" t="s">
        <v>1076</v>
      </c>
      <c r="D306" s="446" t="s">
        <v>1432</v>
      </c>
      <c r="E306" s="403"/>
    </row>
    <row r="307" spans="1:7" x14ac:dyDescent="0.2">
      <c r="A307" s="402" t="s">
        <v>1085</v>
      </c>
      <c r="B307" s="444">
        <f>'Rental Project Worksheet'!R28</f>
        <v>0</v>
      </c>
      <c r="C307" s="402" t="s">
        <v>1076</v>
      </c>
      <c r="D307" s="446" t="s">
        <v>1433</v>
      </c>
      <c r="E307" s="403"/>
    </row>
    <row r="308" spans="1:7" x14ac:dyDescent="0.2">
      <c r="A308" s="402" t="s">
        <v>1086</v>
      </c>
      <c r="B308" s="444">
        <f>'Rental Project Worksheet'!R30</f>
        <v>0</v>
      </c>
      <c r="C308" s="402" t="s">
        <v>1076</v>
      </c>
      <c r="D308" s="446" t="s">
        <v>1434</v>
      </c>
      <c r="E308" s="403"/>
    </row>
    <row r="309" spans="1:7" x14ac:dyDescent="0.2">
      <c r="A309" s="402" t="s">
        <v>1087</v>
      </c>
      <c r="B309" s="722" t="str">
        <f>'Project Information'!M20</f>
        <v/>
      </c>
      <c r="C309" s="402"/>
      <c r="D309" s="402"/>
      <c r="E309" s="403"/>
      <c r="G309" s="734"/>
    </row>
    <row r="310" spans="1:7" x14ac:dyDescent="0.2">
      <c r="A310" s="445" t="s">
        <v>1088</v>
      </c>
      <c r="B310" s="447">
        <f>'Development Budget Worksheet'!C12</f>
        <v>0</v>
      </c>
      <c r="C310" s="402" t="s">
        <v>1076</v>
      </c>
      <c r="D310" s="402"/>
      <c r="E310" s="403"/>
      <c r="G310" s="442"/>
    </row>
    <row r="311" spans="1:7" x14ac:dyDescent="0.2">
      <c r="A311" s="402" t="s">
        <v>1089</v>
      </c>
      <c r="B311" s="448" t="e">
        <f>'Development Budget Worksheet'!J25</f>
        <v>#DIV/0!</v>
      </c>
      <c r="C311" s="402" t="s">
        <v>1076</v>
      </c>
      <c r="D311" s="446" t="s">
        <v>1090</v>
      </c>
      <c r="E311" s="403"/>
      <c r="G311" s="442"/>
    </row>
    <row r="312" spans="1:7" x14ac:dyDescent="0.2">
      <c r="A312" s="402" t="s">
        <v>1091</v>
      </c>
      <c r="B312" s="448">
        <f>'Development Budget Worksheet'!C51</f>
        <v>0</v>
      </c>
      <c r="C312" s="402" t="s">
        <v>1076</v>
      </c>
      <c r="D312" s="402"/>
      <c r="E312" s="404" t="s">
        <v>1308</v>
      </c>
      <c r="G312" s="442"/>
    </row>
    <row r="313" spans="1:7" x14ac:dyDescent="0.2">
      <c r="A313" s="402" t="s">
        <v>1092</v>
      </c>
      <c r="B313" s="448">
        <f>'Development Budget Worksheet'!J55</f>
        <v>0</v>
      </c>
      <c r="C313" s="402" t="s">
        <v>1076</v>
      </c>
      <c r="D313" s="443" t="s">
        <v>1307</v>
      </c>
      <c r="E313" s="404" t="s">
        <v>1306</v>
      </c>
      <c r="G313" s="442"/>
    </row>
    <row r="314" spans="1:7" x14ac:dyDescent="0.2">
      <c r="A314" s="402" t="s">
        <v>1093</v>
      </c>
      <c r="B314" s="448">
        <f>'Development Budget Worksheet'!J56</f>
        <v>0</v>
      </c>
      <c r="C314" s="402" t="s">
        <v>1076</v>
      </c>
      <c r="D314" s="445" t="s">
        <v>1311</v>
      </c>
      <c r="E314" s="403"/>
      <c r="G314" s="442"/>
    </row>
    <row r="315" spans="1:7" x14ac:dyDescent="0.2">
      <c r="A315" s="402" t="s">
        <v>1094</v>
      </c>
      <c r="B315" s="448">
        <f>'Development Budget Worksheet'!J70</f>
        <v>0</v>
      </c>
      <c r="C315" s="402" t="s">
        <v>1076</v>
      </c>
      <c r="D315" s="445" t="s">
        <v>1312</v>
      </c>
      <c r="E315" s="403"/>
      <c r="G315" s="442"/>
    </row>
    <row r="316" spans="1:7" x14ac:dyDescent="0.2">
      <c r="A316" s="402" t="s">
        <v>1095</v>
      </c>
      <c r="B316" s="448">
        <f>'Development Budget Worksheet'!C115</f>
        <v>0</v>
      </c>
      <c r="C316" s="402" t="s">
        <v>1076</v>
      </c>
      <c r="D316" s="445" t="s">
        <v>1313</v>
      </c>
      <c r="E316" s="403"/>
      <c r="G316" s="442"/>
    </row>
    <row r="317" spans="1:7" x14ac:dyDescent="0.2">
      <c r="A317" s="402" t="s">
        <v>1096</v>
      </c>
      <c r="B317" s="448">
        <f>'Development Budget Worksheet'!J83</f>
        <v>0</v>
      </c>
      <c r="C317" s="402" t="s">
        <v>1076</v>
      </c>
      <c r="D317" s="449" t="s">
        <v>1097</v>
      </c>
      <c r="E317" s="403"/>
      <c r="G317" s="442"/>
    </row>
    <row r="318" spans="1:7" x14ac:dyDescent="0.2">
      <c r="A318" s="402" t="s">
        <v>1098</v>
      </c>
      <c r="B318" s="450">
        <f>'Housing Pro Forma'!V11</f>
        <v>0</v>
      </c>
      <c r="C318" s="402" t="s">
        <v>1076</v>
      </c>
      <c r="D318" s="402"/>
      <c r="E318" s="403"/>
      <c r="G318" s="442"/>
    </row>
    <row r="319" spans="1:7" x14ac:dyDescent="0.2">
      <c r="A319" s="402" t="s">
        <v>1099</v>
      </c>
      <c r="B319" s="450">
        <f>'Housing Pro Forma'!E18</f>
        <v>0</v>
      </c>
      <c r="C319" s="402" t="s">
        <v>1076</v>
      </c>
      <c r="D319" s="402"/>
      <c r="E319" s="403"/>
      <c r="G319" s="442"/>
    </row>
    <row r="320" spans="1:7" x14ac:dyDescent="0.2">
      <c r="A320" s="402" t="s">
        <v>1100</v>
      </c>
      <c r="B320" s="450">
        <f>'Housing Pro Forma'!E49</f>
        <v>0</v>
      </c>
      <c r="C320" s="402" t="s">
        <v>1076</v>
      </c>
      <c r="D320" s="402"/>
      <c r="E320" s="403"/>
      <c r="G320" s="442"/>
    </row>
    <row r="321" spans="1:7" x14ac:dyDescent="0.2">
      <c r="A321" s="402" t="s">
        <v>1101</v>
      </c>
      <c r="B321" s="450">
        <f>'Housing Pro Forma'!E50</f>
        <v>0</v>
      </c>
      <c r="C321" s="402" t="s">
        <v>1076</v>
      </c>
      <c r="D321" s="402"/>
      <c r="E321" s="403"/>
      <c r="G321" s="442"/>
    </row>
    <row r="322" spans="1:7" x14ac:dyDescent="0.2">
      <c r="A322" s="402" t="s">
        <v>1102</v>
      </c>
      <c r="B322" s="451">
        <f>'Housing Pro Forma'!E51</f>
        <v>0</v>
      </c>
      <c r="C322" s="402" t="s">
        <v>1076</v>
      </c>
      <c r="D322" s="402"/>
      <c r="E322" s="403"/>
      <c r="G322" s="442"/>
    </row>
    <row r="323" spans="1:7" x14ac:dyDescent="0.2">
      <c r="A323" s="445" t="s">
        <v>1103</v>
      </c>
      <c r="B323" s="452">
        <f>'Feasibility Analysis Worksheet'!L11</f>
        <v>0</v>
      </c>
      <c r="C323" s="402" t="s">
        <v>1076</v>
      </c>
      <c r="D323" s="736" t="s">
        <v>1722</v>
      </c>
      <c r="E323" s="752" t="s">
        <v>1677</v>
      </c>
      <c r="G323" s="442"/>
    </row>
    <row r="324" spans="1:7" x14ac:dyDescent="0.2">
      <c r="A324" s="424" t="s">
        <v>1104</v>
      </c>
      <c r="B324" s="453">
        <f>'Housing Pro Forma'!E53</f>
        <v>0</v>
      </c>
      <c r="C324" s="402" t="s">
        <v>1076</v>
      </c>
      <c r="D324" s="446" t="s">
        <v>1105</v>
      </c>
      <c r="E324" s="446" t="s">
        <v>1318</v>
      </c>
      <c r="G324" s="442"/>
    </row>
    <row r="325" spans="1:7" x14ac:dyDescent="0.2">
      <c r="A325" s="402" t="s">
        <v>1106</v>
      </c>
      <c r="B325" s="451">
        <f>'Housing Pro Forma'!E54</f>
        <v>0</v>
      </c>
      <c r="C325" s="402" t="s">
        <v>1076</v>
      </c>
      <c r="D325" s="402"/>
      <c r="E325" s="446"/>
      <c r="G325" s="442"/>
    </row>
    <row r="326" spans="1:7" x14ac:dyDescent="0.2">
      <c r="A326" s="445" t="s">
        <v>1107</v>
      </c>
      <c r="B326" s="452"/>
      <c r="C326" s="402" t="s">
        <v>1076</v>
      </c>
      <c r="D326" s="402"/>
      <c r="E326" s="446" t="s">
        <v>1318</v>
      </c>
      <c r="G326" s="734"/>
    </row>
    <row r="327" spans="1:7" x14ac:dyDescent="0.2">
      <c r="A327" s="402" t="s">
        <v>1108</v>
      </c>
      <c r="B327" s="447" t="e">
        <f>'Project Information'!M9</f>
        <v>#DIV/0!</v>
      </c>
      <c r="C327" s="402" t="s">
        <v>1076</v>
      </c>
      <c r="D327" s="402"/>
      <c r="E327" s="446" t="s">
        <v>1318</v>
      </c>
      <c r="G327" s="442"/>
    </row>
    <row r="328" spans="1:7" x14ac:dyDescent="0.2">
      <c r="A328" s="402" t="s">
        <v>1109</v>
      </c>
      <c r="B328" s="447" t="e">
        <f>'Project Information'!M13</f>
        <v>#DIV/0!</v>
      </c>
      <c r="C328" s="402" t="s">
        <v>1076</v>
      </c>
      <c r="D328" s="402"/>
      <c r="E328" s="446" t="s">
        <v>1318</v>
      </c>
      <c r="G328" s="442"/>
    </row>
    <row r="329" spans="1:7" x14ac:dyDescent="0.2">
      <c r="A329" s="402" t="s">
        <v>1110</v>
      </c>
      <c r="B329" s="447" t="e">
        <f>'Project Information'!M14</f>
        <v>#DIV/0!</v>
      </c>
      <c r="C329" s="402" t="s">
        <v>1076</v>
      </c>
      <c r="D329" s="402"/>
      <c r="E329" s="446" t="s">
        <v>1318</v>
      </c>
      <c r="G329" s="442"/>
    </row>
    <row r="330" spans="1:7" x14ac:dyDescent="0.2">
      <c r="A330" s="445" t="s">
        <v>1111</v>
      </c>
      <c r="B330" s="447">
        <f>'Development Budget Worksheet'!J119</f>
        <v>0</v>
      </c>
      <c r="C330" s="402" t="s">
        <v>1076</v>
      </c>
      <c r="D330" s="402"/>
      <c r="E330" s="404" t="s">
        <v>1318</v>
      </c>
      <c r="G330" s="442"/>
    </row>
    <row r="331" spans="1:7" x14ac:dyDescent="0.2">
      <c r="A331" s="402" t="s">
        <v>1112</v>
      </c>
      <c r="B331" s="447" t="e">
        <f>'Development Budget Worksheet'!J121</f>
        <v>#DIV/0!</v>
      </c>
      <c r="C331" s="402" t="s">
        <v>1076</v>
      </c>
      <c r="D331" s="643" t="s">
        <v>1590</v>
      </c>
      <c r="E331" s="403"/>
    </row>
    <row r="332" spans="1:7" x14ac:dyDescent="0.2">
      <c r="A332" s="402" t="s">
        <v>1113</v>
      </c>
      <c r="B332" s="447" t="e">
        <f>'Development Budget Worksheet'!J12</f>
        <v>#DIV/0!</v>
      </c>
      <c r="C332" s="402" t="s">
        <v>1076</v>
      </c>
      <c r="D332" s="402"/>
      <c r="E332" s="403"/>
    </row>
    <row r="333" spans="1:7" x14ac:dyDescent="0.2">
      <c r="A333" s="402" t="s">
        <v>1114</v>
      </c>
      <c r="B333" s="447" t="e">
        <f>'Development Budget Worksheet'!J29</f>
        <v>#DIV/0!</v>
      </c>
      <c r="C333" s="402" t="s">
        <v>1076</v>
      </c>
      <c r="D333" s="402"/>
      <c r="E333" s="403"/>
      <c r="G333" s="442"/>
    </row>
    <row r="334" spans="1:7" x14ac:dyDescent="0.2">
      <c r="A334" s="402" t="s">
        <v>1115</v>
      </c>
      <c r="B334" s="447" t="e">
        <f>'Development Budget Worksheet'!J28</f>
        <v>#DIV/0!</v>
      </c>
      <c r="C334" s="402" t="s">
        <v>1076</v>
      </c>
      <c r="D334" s="402"/>
      <c r="E334" s="403"/>
      <c r="G334" s="442"/>
    </row>
    <row r="335" spans="1:7" x14ac:dyDescent="0.2">
      <c r="A335" s="402" t="s">
        <v>1116</v>
      </c>
      <c r="B335" s="447" t="e">
        <f>'Development Budget Worksheet'!J122</f>
        <v>#DIV/0!</v>
      </c>
      <c r="C335" s="402" t="s">
        <v>1076</v>
      </c>
      <c r="D335" s="643" t="s">
        <v>1591</v>
      </c>
      <c r="E335" s="403"/>
      <c r="G335" s="442"/>
    </row>
    <row r="336" spans="1:7" x14ac:dyDescent="0.2">
      <c r="A336" s="402" t="s">
        <v>1117</v>
      </c>
      <c r="B336" s="454" t="e">
        <f>'Project Information'!M12</f>
        <v>#DIV/0!</v>
      </c>
      <c r="C336" s="402" t="s">
        <v>1076</v>
      </c>
      <c r="D336" s="445" t="s">
        <v>1328</v>
      </c>
      <c r="E336" s="403"/>
      <c r="G336" s="442"/>
    </row>
    <row r="337" spans="1:7" x14ac:dyDescent="0.2">
      <c r="A337" s="402" t="s">
        <v>1118</v>
      </c>
      <c r="B337" s="455" t="e">
        <f>'Project Information'!M11</f>
        <v>#DIV/0!</v>
      </c>
      <c r="C337" s="402" t="s">
        <v>1076</v>
      </c>
      <c r="D337" s="402"/>
      <c r="E337" s="403"/>
      <c r="G337" s="442"/>
    </row>
    <row r="338" spans="1:7" x14ac:dyDescent="0.2">
      <c r="A338" s="445" t="s">
        <v>1119</v>
      </c>
      <c r="B338" s="456">
        <f>'Feasibility Analysis Worksheet'!L15</f>
        <v>0</v>
      </c>
      <c r="C338" s="402" t="s">
        <v>1076</v>
      </c>
      <c r="D338" s="445"/>
      <c r="E338" s="403"/>
      <c r="F338" s="457" t="s">
        <v>1411</v>
      </c>
    </row>
    <row r="339" spans="1:7" x14ac:dyDescent="0.2">
      <c r="A339" s="402" t="s">
        <v>1120</v>
      </c>
      <c r="B339" s="455" t="e">
        <f>'Development Budget Worksheet'!J31</f>
        <v>#DIV/0!</v>
      </c>
      <c r="C339" s="402" t="s">
        <v>1076</v>
      </c>
      <c r="D339" s="402"/>
      <c r="E339" s="403"/>
      <c r="F339" s="457" t="s">
        <v>1411</v>
      </c>
    </row>
    <row r="340" spans="1:7" x14ac:dyDescent="0.2">
      <c r="A340" s="402" t="s">
        <v>1121</v>
      </c>
      <c r="B340" s="455" t="e">
        <f>'Development Budget Worksheet'!J32</f>
        <v>#DIV/0!</v>
      </c>
      <c r="C340" s="402" t="s">
        <v>1076</v>
      </c>
      <c r="D340" s="402"/>
      <c r="E340" s="403"/>
    </row>
    <row r="341" spans="1:7" x14ac:dyDescent="0.2">
      <c r="A341" s="402" t="s">
        <v>1122</v>
      </c>
      <c r="B341" s="455" t="e">
        <f>'Development Budget Worksheet'!J33</f>
        <v>#DIV/0!</v>
      </c>
      <c r="C341" s="402" t="s">
        <v>1076</v>
      </c>
      <c r="D341" s="402"/>
      <c r="E341" s="403"/>
      <c r="F341" s="457" t="s">
        <v>1411</v>
      </c>
    </row>
    <row r="342" spans="1:7" x14ac:dyDescent="0.2">
      <c r="A342" s="424" t="s">
        <v>1123</v>
      </c>
      <c r="B342" s="455">
        <f>'Feasibility Analysis Worksheet'!E24</f>
        <v>0</v>
      </c>
      <c r="C342" s="402" t="s">
        <v>1076</v>
      </c>
      <c r="D342" s="643" t="s">
        <v>1671</v>
      </c>
      <c r="E342" s="752" t="s">
        <v>1677</v>
      </c>
    </row>
    <row r="343" spans="1:7" x14ac:dyDescent="0.2">
      <c r="A343" s="458" t="s">
        <v>1200</v>
      </c>
      <c r="B343" s="447" t="str">
        <f>'Housing Pro Forma'!D44</f>
        <v/>
      </c>
      <c r="C343" s="402"/>
      <c r="D343" s="402"/>
      <c r="E343" s="403"/>
      <c r="G343" s="734"/>
    </row>
    <row r="344" spans="1:7" x14ac:dyDescent="0.2">
      <c r="A344" s="402" t="s">
        <v>1125</v>
      </c>
      <c r="B344" s="459" t="e">
        <f>'Services Pro Forma'!R43</f>
        <v>#DIV/0!</v>
      </c>
      <c r="C344" s="402"/>
      <c r="D344" s="445"/>
      <c r="E344" s="403"/>
      <c r="G344" s="442"/>
    </row>
    <row r="345" spans="1:7" x14ac:dyDescent="0.2">
      <c r="A345" s="402" t="s">
        <v>1126</v>
      </c>
      <c r="B345" s="454">
        <f>'Housing Pro Forma'!C20</f>
        <v>0</v>
      </c>
      <c r="C345" s="402"/>
      <c r="D345" s="402" t="s">
        <v>1127</v>
      </c>
      <c r="E345" s="403"/>
    </row>
    <row r="346" spans="1:7" x14ac:dyDescent="0.2">
      <c r="A346" s="402" t="s">
        <v>1128</v>
      </c>
      <c r="B346" s="455">
        <f>'Housing Pro Forma'!E5</f>
        <v>0</v>
      </c>
      <c r="C346" s="402" t="s">
        <v>1076</v>
      </c>
      <c r="D346" s="445" t="s">
        <v>1338</v>
      </c>
      <c r="E346" s="403"/>
    </row>
    <row r="347" spans="1:7" x14ac:dyDescent="0.2">
      <c r="A347" s="402" t="s">
        <v>1129</v>
      </c>
      <c r="B347" s="460">
        <f>'Feasibility Analysis Worksheet'!E19</f>
        <v>0</v>
      </c>
      <c r="C347" s="402" t="s">
        <v>1076</v>
      </c>
      <c r="D347" s="402" t="s">
        <v>1339</v>
      </c>
      <c r="E347" s="403"/>
    </row>
    <row r="348" spans="1:7" x14ac:dyDescent="0.2">
      <c r="A348" s="445" t="s">
        <v>1130</v>
      </c>
      <c r="B348" s="402">
        <f>'Sources of Funds Worksheet'!L25</f>
        <v>0</v>
      </c>
      <c r="C348" s="402" t="s">
        <v>1076</v>
      </c>
      <c r="D348" s="402"/>
      <c r="E348" s="403"/>
      <c r="G348" s="442"/>
    </row>
    <row r="349" spans="1:7" x14ac:dyDescent="0.2">
      <c r="A349" s="424" t="s">
        <v>1131</v>
      </c>
      <c r="B349" s="447">
        <f>'Feasibility Analysis Worksheet'!E20</f>
        <v>0</v>
      </c>
      <c r="C349" s="402" t="s">
        <v>1076</v>
      </c>
      <c r="D349" s="643" t="s">
        <v>1715</v>
      </c>
      <c r="E349" s="752" t="s">
        <v>1677</v>
      </c>
    </row>
    <row r="350" spans="1:7" x14ac:dyDescent="0.2">
      <c r="A350" s="402" t="s">
        <v>1132</v>
      </c>
      <c r="B350" s="455">
        <f>'Housing Pro Forma'!L6</f>
        <v>0.02</v>
      </c>
      <c r="C350" s="402" t="s">
        <v>1076</v>
      </c>
      <c r="D350" s="445" t="s">
        <v>1340</v>
      </c>
      <c r="E350" s="403"/>
    </row>
    <row r="351" spans="1:7" x14ac:dyDescent="0.2">
      <c r="A351" s="402" t="s">
        <v>1133</v>
      </c>
      <c r="B351" s="455">
        <f>'Housing Pro Forma'!O6</f>
        <v>0.03</v>
      </c>
      <c r="C351" s="402" t="s">
        <v>1076</v>
      </c>
      <c r="D351" s="445" t="s">
        <v>1340</v>
      </c>
      <c r="E351" s="403"/>
    </row>
    <row r="352" spans="1:7" x14ac:dyDescent="0.2">
      <c r="A352" s="402" t="s">
        <v>1134</v>
      </c>
      <c r="B352" s="402">
        <v>0</v>
      </c>
      <c r="C352" s="402"/>
      <c r="D352" s="402" t="s">
        <v>1341</v>
      </c>
      <c r="E352" s="403"/>
      <c r="F352" s="461" t="s">
        <v>1412</v>
      </c>
      <c r="G352" s="442"/>
    </row>
    <row r="353" spans="1:7" x14ac:dyDescent="0.2">
      <c r="A353" s="462" t="s">
        <v>1135</v>
      </c>
      <c r="B353" s="448" t="e">
        <f>'Development Budget Worksheet'!J27</f>
        <v>#DIV/0!</v>
      </c>
      <c r="C353" s="402" t="s">
        <v>1076</v>
      </c>
      <c r="D353" s="463" t="s">
        <v>1347</v>
      </c>
      <c r="E353" s="403"/>
    </row>
    <row r="354" spans="1:7" x14ac:dyDescent="0.2">
      <c r="A354" s="402" t="s">
        <v>1136</v>
      </c>
      <c r="B354" s="447" t="e">
        <f>'Development Budget Worksheet'!J26</f>
        <v>#DIV/0!</v>
      </c>
      <c r="C354" s="402" t="s">
        <v>1076</v>
      </c>
      <c r="D354" s="402" t="s">
        <v>1348</v>
      </c>
      <c r="E354" s="403"/>
    </row>
    <row r="355" spans="1:7" x14ac:dyDescent="0.2">
      <c r="A355" s="414" t="s">
        <v>1137</v>
      </c>
      <c r="B355" s="448">
        <f>'Development Budget Worksheet'!C92</f>
        <v>0</v>
      </c>
      <c r="C355" s="414" t="s">
        <v>1076</v>
      </c>
      <c r="D355" s="464" t="s">
        <v>1138</v>
      </c>
      <c r="E355" s="403"/>
      <c r="G355" s="735"/>
    </row>
    <row r="356" spans="1:7" x14ac:dyDescent="0.2">
      <c r="A356" s="414" t="s">
        <v>1139</v>
      </c>
      <c r="B356" s="448">
        <f>'Development Budget Worksheet'!C106</f>
        <v>0</v>
      </c>
      <c r="C356" s="414" t="s">
        <v>1076</v>
      </c>
      <c r="D356" s="414"/>
      <c r="E356" s="403"/>
    </row>
    <row r="357" spans="1:7" x14ac:dyDescent="0.2">
      <c r="A357" s="414" t="s">
        <v>1140</v>
      </c>
      <c r="B357" s="448">
        <f>'Development Budget Worksheet'!C117</f>
        <v>0</v>
      </c>
      <c r="C357" s="414"/>
      <c r="D357" s="464" t="s">
        <v>1361</v>
      </c>
      <c r="E357" s="403"/>
    </row>
    <row r="358" spans="1:7" x14ac:dyDescent="0.2">
      <c r="A358" s="414" t="s">
        <v>1141</v>
      </c>
      <c r="B358" s="465">
        <f>'Rental Project Worksheet'!D60</f>
        <v>0</v>
      </c>
      <c r="C358" s="414"/>
      <c r="D358" s="414"/>
      <c r="E358" s="403"/>
    </row>
    <row r="359" spans="1:7" x14ac:dyDescent="0.2">
      <c r="A359" s="414" t="s">
        <v>1142</v>
      </c>
      <c r="B359" s="465">
        <f>'Project Information'!M16</f>
        <v>0</v>
      </c>
      <c r="C359" s="414"/>
      <c r="D359" s="414" t="s">
        <v>1351</v>
      </c>
      <c r="E359" s="403"/>
    </row>
    <row r="360" spans="1:7" x14ac:dyDescent="0.2">
      <c r="A360" s="414" t="s">
        <v>1143</v>
      </c>
      <c r="B360" s="448">
        <f>'Project Information'!H9</f>
        <v>0</v>
      </c>
      <c r="C360" s="414"/>
      <c r="D360" s="466" t="s">
        <v>1457</v>
      </c>
      <c r="E360" s="403"/>
    </row>
    <row r="361" spans="1:7" x14ac:dyDescent="0.2">
      <c r="A361" s="414" t="s">
        <v>1144</v>
      </c>
      <c r="B361" s="467" t="e">
        <f>'Development Budget Worksheet'!J27</f>
        <v>#DIV/0!</v>
      </c>
      <c r="C361" s="414"/>
      <c r="D361" s="464" t="s">
        <v>1352</v>
      </c>
      <c r="E361" s="403"/>
    </row>
    <row r="362" spans="1:7" x14ac:dyDescent="0.2">
      <c r="A362" s="414" t="s">
        <v>1145</v>
      </c>
      <c r="B362" s="468">
        <f>'Project Information'!M8</f>
        <v>0</v>
      </c>
      <c r="C362" s="414"/>
      <c r="D362" s="414"/>
      <c r="E362" s="403"/>
    </row>
    <row r="363" spans="1:7" x14ac:dyDescent="0.2">
      <c r="A363" s="414" t="s">
        <v>1146</v>
      </c>
      <c r="B363" s="468">
        <f>'Project Information'!M7</f>
        <v>0</v>
      </c>
      <c r="C363" s="414"/>
      <c r="D363" s="414"/>
      <c r="E363" s="403"/>
    </row>
    <row r="364" spans="1:7" x14ac:dyDescent="0.2">
      <c r="A364" s="464" t="s">
        <v>1147</v>
      </c>
      <c r="B364" s="448">
        <f>'Development Budget Worksheet'!J10</f>
        <v>0</v>
      </c>
      <c r="C364" s="402"/>
      <c r="D364" s="402"/>
      <c r="E364" s="403"/>
      <c r="G364" s="442"/>
    </row>
    <row r="365" spans="1:7" x14ac:dyDescent="0.2">
      <c r="A365" s="414" t="s">
        <v>1148</v>
      </c>
      <c r="B365" s="448">
        <f>'Development Budget Worksheet'!C111</f>
        <v>0</v>
      </c>
      <c r="C365" s="414"/>
      <c r="D365" s="464" t="s">
        <v>1356</v>
      </c>
      <c r="E365" s="403"/>
    </row>
    <row r="366" spans="1:7" x14ac:dyDescent="0.2">
      <c r="A366" s="414" t="s">
        <v>1149</v>
      </c>
      <c r="B366" s="448">
        <f>'Development Budget Worksheet'!C110</f>
        <v>0</v>
      </c>
      <c r="C366" s="414"/>
      <c r="D366" s="464" t="s">
        <v>1357</v>
      </c>
      <c r="E366" s="403"/>
    </row>
    <row r="367" spans="1:7" x14ac:dyDescent="0.2">
      <c r="A367" s="414" t="s">
        <v>1150</v>
      </c>
      <c r="B367" s="448">
        <f>'Development Budget Worksheet'!C17</f>
        <v>0</v>
      </c>
      <c r="C367" s="414"/>
      <c r="D367" s="414"/>
      <c r="E367" s="403"/>
      <c r="G367" s="442"/>
    </row>
    <row r="368" spans="1:7" x14ac:dyDescent="0.2">
      <c r="A368" s="414" t="s">
        <v>1151</v>
      </c>
      <c r="B368" s="469"/>
      <c r="C368" s="414"/>
      <c r="D368" s="464" t="s">
        <v>1358</v>
      </c>
      <c r="E368" s="403"/>
      <c r="G368" s="734"/>
    </row>
    <row r="369" spans="1:7" x14ac:dyDescent="0.2">
      <c r="A369" s="414" t="s">
        <v>1153</v>
      </c>
      <c r="B369" s="469"/>
      <c r="C369" s="402"/>
      <c r="D369" s="445" t="s">
        <v>1359</v>
      </c>
      <c r="E369" s="403"/>
      <c r="G369" s="734"/>
    </row>
    <row r="370" spans="1:7" x14ac:dyDescent="0.2">
      <c r="A370" s="464" t="s">
        <v>1154</v>
      </c>
      <c r="B370" s="447">
        <f>'Development Budget Worksheet'!C31</f>
        <v>0</v>
      </c>
      <c r="C370" s="402"/>
      <c r="D370" s="402"/>
      <c r="E370" s="403"/>
    </row>
    <row r="371" spans="1:7" x14ac:dyDescent="0.2">
      <c r="A371" s="464" t="s">
        <v>1155</v>
      </c>
      <c r="B371" s="447">
        <f>'Development Budget Worksheet'!C16</f>
        <v>0</v>
      </c>
      <c r="C371" s="402"/>
      <c r="D371" s="402"/>
      <c r="E371" s="403"/>
      <c r="G371" s="442"/>
    </row>
    <row r="372" spans="1:7" x14ac:dyDescent="0.2">
      <c r="A372" s="464" t="s">
        <v>1156</v>
      </c>
      <c r="B372" s="447">
        <f>'Development Budget Worksheet'!C32</f>
        <v>0</v>
      </c>
      <c r="C372" s="402"/>
      <c r="D372" s="402"/>
      <c r="E372" s="403"/>
    </row>
    <row r="373" spans="1:7" x14ac:dyDescent="0.2">
      <c r="A373" s="464" t="s">
        <v>1157</v>
      </c>
      <c r="B373" s="447">
        <f>'Development Budget Worksheet'!C33</f>
        <v>0</v>
      </c>
      <c r="C373" s="402"/>
      <c r="D373" s="402"/>
      <c r="E373" s="403"/>
    </row>
    <row r="374" spans="1:7" x14ac:dyDescent="0.2">
      <c r="A374" s="414" t="s">
        <v>1158</v>
      </c>
      <c r="B374" s="447">
        <f>'Development Budget Worksheet'!C34</f>
        <v>0</v>
      </c>
      <c r="C374" s="402"/>
      <c r="D374" s="445" t="s">
        <v>1159</v>
      </c>
      <c r="E374" s="403"/>
    </row>
    <row r="375" spans="1:7" x14ac:dyDescent="0.2">
      <c r="A375" s="414" t="s">
        <v>1160</v>
      </c>
      <c r="B375" s="451">
        <f>'Sources of Funds Worksheet'!D23+'Sources of Funds Worksheet'!D41</f>
        <v>0</v>
      </c>
      <c r="C375" s="402"/>
      <c r="D375" s="402"/>
      <c r="E375" s="403"/>
    </row>
    <row r="376" spans="1:7" x14ac:dyDescent="0.2">
      <c r="A376" s="464" t="s">
        <v>1161</v>
      </c>
      <c r="B376" s="447">
        <f>'Development Budget Worksheet'!C117</f>
        <v>0</v>
      </c>
      <c r="C376" s="402"/>
      <c r="D376" s="445" t="s">
        <v>1360</v>
      </c>
      <c r="E376" s="403"/>
    </row>
    <row r="377" spans="1:7" x14ac:dyDescent="0.2">
      <c r="A377" s="414" t="s">
        <v>1162</v>
      </c>
      <c r="B377" s="467" t="e">
        <f>'Development Budget Worksheet'!J26</f>
        <v>#DIV/0!</v>
      </c>
      <c r="C377" s="414"/>
      <c r="D377" s="464" t="s">
        <v>1346</v>
      </c>
      <c r="E377" s="403"/>
    </row>
    <row r="378" spans="1:7" x14ac:dyDescent="0.2">
      <c r="A378" s="414" t="s">
        <v>1163</v>
      </c>
      <c r="B378" s="468"/>
      <c r="C378" s="414"/>
      <c r="D378" s="466" t="s">
        <v>1164</v>
      </c>
      <c r="E378" s="403" t="s">
        <v>1349</v>
      </c>
      <c r="G378" s="734"/>
    </row>
    <row r="379" spans="1:7" x14ac:dyDescent="0.2">
      <c r="A379" s="414" t="s">
        <v>1165</v>
      </c>
      <c r="B379" s="470">
        <f>'Development Budget Worksheet'!C109</f>
        <v>0</v>
      </c>
      <c r="C379" s="414"/>
      <c r="D379" s="464" t="s">
        <v>1166</v>
      </c>
      <c r="E379" s="404"/>
    </row>
    <row r="380" spans="1:7" x14ac:dyDescent="0.2">
      <c r="A380" s="414" t="s">
        <v>1167</v>
      </c>
      <c r="B380" s="470">
        <f>'Feasibility Analysis Worksheet'!E19</f>
        <v>0</v>
      </c>
      <c r="C380" s="414"/>
      <c r="D380" s="402" t="s">
        <v>1339</v>
      </c>
      <c r="E380" s="403"/>
    </row>
    <row r="381" spans="1:7" x14ac:dyDescent="0.2">
      <c r="A381" s="414" t="s">
        <v>1168</v>
      </c>
      <c r="B381" s="471">
        <f>'Feasibility Analysis Worksheet'!F7</f>
        <v>0</v>
      </c>
      <c r="C381" s="414" t="s">
        <v>1076</v>
      </c>
      <c r="D381" s="414" t="s">
        <v>1169</v>
      </c>
      <c r="E381" s="403"/>
    </row>
    <row r="382" spans="1:7" x14ac:dyDescent="0.2">
      <c r="A382" s="464" t="s">
        <v>1170</v>
      </c>
      <c r="B382" s="470">
        <f>'Housing Pro Forma'!E55</f>
        <v>0</v>
      </c>
      <c r="C382" s="414"/>
      <c r="D382" s="464" t="s">
        <v>1362</v>
      </c>
      <c r="E382" s="403"/>
    </row>
    <row r="383" spans="1:7" x14ac:dyDescent="0.2">
      <c r="A383" s="414" t="s">
        <v>1171</v>
      </c>
      <c r="B383" s="454">
        <f>'Housing Pro Forma'!V56</f>
        <v>0</v>
      </c>
      <c r="C383" s="414"/>
      <c r="D383" s="464" t="s">
        <v>1363</v>
      </c>
      <c r="E383" s="403"/>
    </row>
    <row r="384" spans="1:7" x14ac:dyDescent="0.2">
      <c r="A384" s="414" t="s">
        <v>1172</v>
      </c>
      <c r="B384" s="448">
        <f>'Housing Pro Forma'!V47</f>
        <v>0</v>
      </c>
      <c r="C384" s="414"/>
      <c r="D384" s="464" t="s">
        <v>1364</v>
      </c>
      <c r="E384" s="403"/>
    </row>
    <row r="385" spans="1:7" x14ac:dyDescent="0.2">
      <c r="A385" s="414" t="s">
        <v>1173</v>
      </c>
      <c r="B385" s="454"/>
      <c r="C385" s="414"/>
      <c r="D385" s="414"/>
      <c r="E385" s="403" t="s">
        <v>1349</v>
      </c>
      <c r="G385" s="737"/>
    </row>
    <row r="386" spans="1:7" x14ac:dyDescent="0.2">
      <c r="A386" s="414" t="s">
        <v>1174</v>
      </c>
      <c r="B386" s="472">
        <f>'Sources of Funds Worksheet'!D13</f>
        <v>0</v>
      </c>
      <c r="C386" s="414"/>
      <c r="D386" s="414"/>
      <c r="E386" s="403"/>
    </row>
    <row r="387" spans="1:7" x14ac:dyDescent="0.2">
      <c r="A387" s="414" t="s">
        <v>1175</v>
      </c>
      <c r="B387" s="465">
        <f>'Housing Pro Forma'!V52</f>
        <v>0</v>
      </c>
      <c r="C387" s="414"/>
      <c r="D387" s="414"/>
      <c r="E387" s="403"/>
    </row>
    <row r="388" spans="1:7" x14ac:dyDescent="0.2">
      <c r="A388" s="414" t="s">
        <v>1176</v>
      </c>
      <c r="B388" s="444" t="str">
        <f>'Housing Pro Forma'!V54</f>
        <v>TRUE</v>
      </c>
      <c r="C388" s="414"/>
      <c r="D388" s="414"/>
      <c r="E388" s="403"/>
    </row>
    <row r="389" spans="1:7" x14ac:dyDescent="0.2">
      <c r="A389" s="464" t="s">
        <v>1177</v>
      </c>
      <c r="B389" s="465"/>
      <c r="C389" s="414"/>
      <c r="D389" s="464" t="s">
        <v>1370</v>
      </c>
      <c r="E389" s="403" t="s">
        <v>1349</v>
      </c>
      <c r="G389" s="734"/>
    </row>
    <row r="390" spans="1:7" x14ac:dyDescent="0.2">
      <c r="A390" s="464" t="s">
        <v>1178</v>
      </c>
      <c r="B390" s="465"/>
      <c r="C390" s="414"/>
      <c r="D390" s="464" t="s">
        <v>1370</v>
      </c>
      <c r="E390" s="403" t="s">
        <v>1349</v>
      </c>
      <c r="G390" s="734"/>
    </row>
    <row r="391" spans="1:7" x14ac:dyDescent="0.2">
      <c r="A391" s="464" t="s">
        <v>1179</v>
      </c>
      <c r="B391" s="465"/>
      <c r="C391" s="414"/>
      <c r="D391" s="464" t="s">
        <v>1371</v>
      </c>
      <c r="E391" s="403" t="s">
        <v>1349</v>
      </c>
      <c r="G391" s="734"/>
    </row>
    <row r="392" spans="1:7" x14ac:dyDescent="0.2">
      <c r="A392" s="464" t="s">
        <v>1180</v>
      </c>
      <c r="B392" s="454"/>
      <c r="C392" s="414"/>
      <c r="D392" s="464" t="s">
        <v>1371</v>
      </c>
      <c r="E392" s="403" t="s">
        <v>1349</v>
      </c>
      <c r="G392" s="734"/>
    </row>
    <row r="393" spans="1:7" x14ac:dyDescent="0.2">
      <c r="A393" s="414" t="s">
        <v>1181</v>
      </c>
      <c r="B393" s="473"/>
      <c r="C393" s="414"/>
      <c r="D393" s="464" t="s">
        <v>1370</v>
      </c>
      <c r="E393" s="403" t="s">
        <v>1349</v>
      </c>
      <c r="G393" s="734"/>
    </row>
    <row r="394" spans="1:7" x14ac:dyDescent="0.2">
      <c r="A394" s="414" t="s">
        <v>1182</v>
      </c>
      <c r="B394" s="473"/>
      <c r="C394" s="414"/>
      <c r="D394" s="464" t="s">
        <v>1370</v>
      </c>
      <c r="E394" s="403" t="s">
        <v>1349</v>
      </c>
      <c r="G394" s="734"/>
    </row>
    <row r="395" spans="1:7" x14ac:dyDescent="0.2">
      <c r="A395" s="414" t="s">
        <v>1183</v>
      </c>
      <c r="B395" s="473"/>
      <c r="C395" s="414"/>
      <c r="D395" s="464" t="s">
        <v>1371</v>
      </c>
      <c r="E395" s="403" t="s">
        <v>1349</v>
      </c>
      <c r="G395" s="734"/>
    </row>
    <row r="396" spans="1:7" x14ac:dyDescent="0.2">
      <c r="A396" s="414" t="s">
        <v>1184</v>
      </c>
      <c r="B396" s="454"/>
      <c r="C396" s="414"/>
      <c r="D396" s="464" t="s">
        <v>1371</v>
      </c>
      <c r="E396" s="403" t="s">
        <v>1349</v>
      </c>
      <c r="G396" s="734"/>
    </row>
    <row r="397" spans="1:7" x14ac:dyDescent="0.2">
      <c r="A397" s="414" t="s">
        <v>1185</v>
      </c>
      <c r="B397" s="469"/>
      <c r="C397" s="414"/>
      <c r="D397" s="414" t="s">
        <v>1152</v>
      </c>
      <c r="E397" s="403" t="s">
        <v>1349</v>
      </c>
      <c r="G397" s="734"/>
    </row>
    <row r="398" spans="1:7" x14ac:dyDescent="0.2">
      <c r="A398" s="414" t="s">
        <v>1186</v>
      </c>
      <c r="B398" s="468">
        <f>'Project Information'!M10</f>
        <v>0</v>
      </c>
      <c r="C398" s="424"/>
      <c r="D398" s="424"/>
      <c r="E398" s="403"/>
    </row>
    <row r="399" spans="1:7" x14ac:dyDescent="0.2">
      <c r="A399" s="414" t="s">
        <v>1187</v>
      </c>
      <c r="B399" s="447"/>
      <c r="C399" s="402"/>
      <c r="D399" s="402"/>
      <c r="E399" s="404" t="s">
        <v>1349</v>
      </c>
      <c r="G399" s="734"/>
    </row>
    <row r="400" spans="1:7" x14ac:dyDescent="0.2">
      <c r="A400" s="414" t="s">
        <v>1188</v>
      </c>
      <c r="B400" s="474">
        <f>'Project Information'!H11</f>
        <v>0</v>
      </c>
      <c r="C400" s="402"/>
      <c r="D400" s="402" t="s">
        <v>1374</v>
      </c>
      <c r="E400" s="403"/>
    </row>
    <row r="401" spans="1:7" x14ac:dyDescent="0.2">
      <c r="A401" s="414" t="s">
        <v>1189</v>
      </c>
      <c r="B401" s="451">
        <f>'Sources of Funds Worksheet'!D41</f>
        <v>0</v>
      </c>
      <c r="C401" s="402"/>
      <c r="D401" s="402" t="s">
        <v>1375</v>
      </c>
      <c r="E401" s="403"/>
    </row>
    <row r="402" spans="1:7" x14ac:dyDescent="0.2">
      <c r="A402" s="414" t="s">
        <v>1190</v>
      </c>
      <c r="B402" s="447">
        <f>'Development Budget Worksheet'!D119</f>
        <v>0</v>
      </c>
      <c r="C402" s="402"/>
      <c r="D402" s="402" t="s">
        <v>1375</v>
      </c>
      <c r="E402" s="403"/>
    </row>
    <row r="403" spans="1:7" x14ac:dyDescent="0.2">
      <c r="A403" s="464" t="s">
        <v>1191</v>
      </c>
      <c r="B403" s="447">
        <f>'Development Budget Worksheet'!C109</f>
        <v>0</v>
      </c>
      <c r="C403" s="402"/>
      <c r="D403" s="402"/>
      <c r="E403" s="403"/>
    </row>
    <row r="404" spans="1:7" x14ac:dyDescent="0.2">
      <c r="A404" s="414" t="s">
        <v>1192</v>
      </c>
      <c r="B404" s="450">
        <f>'Housing Pro Forma'!E44</f>
        <v>0</v>
      </c>
      <c r="C404" s="402"/>
      <c r="D404" s="402"/>
      <c r="E404" s="403"/>
    </row>
    <row r="405" spans="1:7" x14ac:dyDescent="0.2">
      <c r="A405" s="414" t="s">
        <v>1193</v>
      </c>
      <c r="B405" s="450">
        <f>'Housing Pro Forma'!E46</f>
        <v>0</v>
      </c>
      <c r="C405" s="402"/>
      <c r="D405" s="402"/>
      <c r="E405" s="403"/>
    </row>
    <row r="406" spans="1:7" x14ac:dyDescent="0.2">
      <c r="A406" s="414" t="s">
        <v>1194</v>
      </c>
      <c r="B406" s="423">
        <f>'Project Information'!C22</f>
        <v>0</v>
      </c>
      <c r="C406" s="402"/>
      <c r="D406" s="402"/>
      <c r="E406" s="403"/>
      <c r="G406" s="442"/>
    </row>
    <row r="407" spans="1:7" x14ac:dyDescent="0.2">
      <c r="A407" s="464" t="s">
        <v>1195</v>
      </c>
      <c r="B407" s="447">
        <f>'Development Budget Worksheet'!C114</f>
        <v>0</v>
      </c>
      <c r="C407" s="402"/>
      <c r="D407" s="445" t="s">
        <v>1461</v>
      </c>
      <c r="E407" s="403"/>
    </row>
    <row r="408" spans="1:7" x14ac:dyDescent="0.2">
      <c r="A408" s="414" t="s">
        <v>1196</v>
      </c>
      <c r="B408" s="447">
        <f>'Development Budget Worksheet'!C115</f>
        <v>0</v>
      </c>
      <c r="C408" s="402"/>
      <c r="D408" s="402"/>
      <c r="E408" s="403"/>
    </row>
    <row r="409" spans="1:7" x14ac:dyDescent="0.2">
      <c r="A409" s="414" t="s">
        <v>1197</v>
      </c>
      <c r="B409" s="447">
        <f>'Development Budget Worksheet'!C109</f>
        <v>0</v>
      </c>
      <c r="C409" s="402"/>
      <c r="D409" s="402"/>
      <c r="E409" s="403"/>
    </row>
    <row r="410" spans="1:7" x14ac:dyDescent="0.2">
      <c r="A410" s="414" t="s">
        <v>1198</v>
      </c>
      <c r="B410" s="447">
        <f>'Development Budget Worksheet'!C115</f>
        <v>0</v>
      </c>
      <c r="C410" s="402"/>
      <c r="D410" s="402"/>
      <c r="E410" s="403"/>
    </row>
    <row r="411" spans="1:7" x14ac:dyDescent="0.2">
      <c r="A411" s="414" t="s">
        <v>1199</v>
      </c>
      <c r="B411" s="459">
        <f>'Sources of Funds Worksheet'!D11</f>
        <v>0</v>
      </c>
      <c r="C411" s="402"/>
      <c r="D411" s="402"/>
      <c r="E411" s="403"/>
    </row>
    <row r="412" spans="1:7" x14ac:dyDescent="0.2">
      <c r="A412" s="458" t="s">
        <v>1124</v>
      </c>
      <c r="B412" s="455" t="e">
        <f>'Housing Pro Forma'!V61</f>
        <v>#DIV/0!</v>
      </c>
      <c r="C412" s="402"/>
      <c r="D412" s="445"/>
      <c r="E412" s="403"/>
      <c r="F412" s="457" t="s">
        <v>1413</v>
      </c>
    </row>
    <row r="413" spans="1:7" x14ac:dyDescent="0.2">
      <c r="A413" s="414" t="s">
        <v>1201</v>
      </c>
      <c r="B413" s="475">
        <f>'Housing Pro Forma'!E20</f>
        <v>0</v>
      </c>
      <c r="C413" s="402"/>
      <c r="D413" s="402"/>
      <c r="E413" s="403"/>
    </row>
    <row r="414" spans="1:7" x14ac:dyDescent="0.2">
      <c r="A414" s="414" t="s">
        <v>1202</v>
      </c>
      <c r="B414" s="450">
        <f>'Housing Pro Forma'!E6</f>
        <v>0</v>
      </c>
      <c r="C414" s="402"/>
      <c r="D414" s="445" t="s">
        <v>1376</v>
      </c>
      <c r="E414" s="403"/>
    </row>
    <row r="415" spans="1:7" x14ac:dyDescent="0.2">
      <c r="A415" s="414" t="s">
        <v>1203</v>
      </c>
      <c r="B415" s="452" t="e">
        <f>'Services Pro Forma'!R44</f>
        <v>#DIV/0!</v>
      </c>
      <c r="C415" s="402"/>
      <c r="D415" s="445" t="s">
        <v>1377</v>
      </c>
      <c r="E415" s="403"/>
    </row>
    <row r="416" spans="1:7" x14ac:dyDescent="0.2">
      <c r="A416" s="414" t="s">
        <v>1204</v>
      </c>
      <c r="B416" s="450">
        <f>'Housing Pro Forma'!V47</f>
        <v>0</v>
      </c>
      <c r="C416" s="402"/>
      <c r="D416" s="445" t="s">
        <v>1378</v>
      </c>
      <c r="E416" s="403"/>
    </row>
    <row r="417" spans="1:7" x14ac:dyDescent="0.2">
      <c r="A417" s="414" t="s">
        <v>1205</v>
      </c>
      <c r="B417" s="454"/>
      <c r="C417" s="402"/>
      <c r="D417" s="445" t="s">
        <v>1380</v>
      </c>
      <c r="E417" s="476" t="s">
        <v>1379</v>
      </c>
      <c r="G417" s="734"/>
    </row>
    <row r="418" spans="1:7" x14ac:dyDescent="0.2">
      <c r="A418" s="414" t="s">
        <v>1207</v>
      </c>
      <c r="B418" s="451">
        <f>'Feasibility Analysis Worksheet'!B22</f>
        <v>0</v>
      </c>
      <c r="C418" s="402"/>
      <c r="D418" s="402"/>
      <c r="E418" s="403"/>
    </row>
    <row r="419" spans="1:7" x14ac:dyDescent="0.2">
      <c r="A419" s="464" t="s">
        <v>1208</v>
      </c>
      <c r="B419" s="451" t="e">
        <f>'Housing Pro Forma'!V55</f>
        <v>#DIV/0!</v>
      </c>
      <c r="C419" s="402"/>
      <c r="D419" s="402"/>
      <c r="E419" s="403"/>
    </row>
    <row r="420" spans="1:7" x14ac:dyDescent="0.2">
      <c r="A420" s="414" t="s">
        <v>1209</v>
      </c>
      <c r="B420" s="451" t="e">
        <f>'Housing Pro Forma'!V57</f>
        <v>#DIV/0!</v>
      </c>
      <c r="C420" s="402"/>
      <c r="D420" s="402"/>
      <c r="E420" s="403"/>
    </row>
    <row r="421" spans="1:7" x14ac:dyDescent="0.2">
      <c r="A421" s="464" t="s">
        <v>1210</v>
      </c>
      <c r="B421" s="473">
        <f>'Sources of Funds Worksheet'!AO22</f>
        <v>0</v>
      </c>
      <c r="C421" s="402"/>
      <c r="D421" s="402"/>
      <c r="E421" s="403"/>
    </row>
    <row r="422" spans="1:7" x14ac:dyDescent="0.2">
      <c r="A422" s="464" t="s">
        <v>1211</v>
      </c>
      <c r="B422" s="477"/>
      <c r="C422" s="402"/>
      <c r="D422" s="445" t="s">
        <v>1383</v>
      </c>
      <c r="E422" s="404" t="s">
        <v>1349</v>
      </c>
      <c r="G422" s="734"/>
    </row>
    <row r="423" spans="1:7" x14ac:dyDescent="0.2">
      <c r="A423" s="414" t="s">
        <v>1212</v>
      </c>
      <c r="B423" s="451">
        <f>'Sources of Funds Worksheet'!AP22</f>
        <v>0</v>
      </c>
      <c r="C423" s="402"/>
      <c r="D423" s="402"/>
      <c r="E423" s="403"/>
    </row>
    <row r="424" spans="1:7" x14ac:dyDescent="0.2">
      <c r="A424" s="414" t="s">
        <v>1213</v>
      </c>
      <c r="B424" s="450">
        <f>'Sources of Funds Worksheet'!W25</f>
        <v>0</v>
      </c>
      <c r="C424" s="402"/>
      <c r="D424" s="445"/>
      <c r="E424" s="403"/>
    </row>
    <row r="425" spans="1:7" x14ac:dyDescent="0.2">
      <c r="A425" s="464" t="s">
        <v>1214</v>
      </c>
      <c r="B425" s="477"/>
      <c r="C425" s="402"/>
      <c r="D425" s="445" t="s">
        <v>1383</v>
      </c>
      <c r="E425" s="404" t="s">
        <v>1349</v>
      </c>
      <c r="G425" s="734"/>
    </row>
    <row r="426" spans="1:7" x14ac:dyDescent="0.2">
      <c r="A426" s="464" t="s">
        <v>1215</v>
      </c>
      <c r="B426" s="478"/>
      <c r="C426" s="402"/>
      <c r="D426" s="402" t="s">
        <v>1152</v>
      </c>
      <c r="E426" s="403"/>
      <c r="G426" s="734"/>
    </row>
    <row r="427" spans="1:7" x14ac:dyDescent="0.2">
      <c r="A427" s="402" t="s">
        <v>1216</v>
      </c>
      <c r="B427" s="479"/>
      <c r="C427" s="402"/>
      <c r="D427" s="402" t="s">
        <v>1152</v>
      </c>
      <c r="E427" s="403"/>
      <c r="G427" s="734"/>
    </row>
    <row r="428" spans="1:7" x14ac:dyDescent="0.2">
      <c r="A428" s="480" t="s">
        <v>1217</v>
      </c>
      <c r="B428" s="402">
        <f>'Project Information'!M19</f>
        <v>0</v>
      </c>
      <c r="C428" s="402"/>
      <c r="D428" s="402"/>
      <c r="E428" s="403"/>
    </row>
    <row r="429" spans="1:7" x14ac:dyDescent="0.2">
      <c r="A429" s="480" t="s">
        <v>1218</v>
      </c>
      <c r="B429" s="450">
        <f>'Project Information'!M15</f>
        <v>0</v>
      </c>
      <c r="C429" s="402"/>
      <c r="D429" s="402"/>
      <c r="E429" s="403"/>
    </row>
    <row r="430" spans="1:7" x14ac:dyDescent="0.2">
      <c r="A430" s="480" t="s">
        <v>1219</v>
      </c>
      <c r="B430" s="402"/>
      <c r="C430" s="402"/>
      <c r="D430" s="403" t="s">
        <v>1349</v>
      </c>
      <c r="E430" s="403" t="s">
        <v>1349</v>
      </c>
      <c r="G430" s="734"/>
    </row>
    <row r="431" spans="1:7" x14ac:dyDescent="0.2">
      <c r="A431" s="402" t="s">
        <v>1220</v>
      </c>
      <c r="B431" s="402"/>
      <c r="C431" s="402"/>
      <c r="D431" s="403" t="s">
        <v>1349</v>
      </c>
      <c r="E431" s="476" t="s">
        <v>1206</v>
      </c>
      <c r="G431" s="734"/>
    </row>
    <row r="432" spans="1:7" x14ac:dyDescent="0.2">
      <c r="A432" s="445" t="s">
        <v>1221</v>
      </c>
      <c r="B432" s="454">
        <f>'Feasibility Analysis Worksheet'!L15</f>
        <v>0</v>
      </c>
      <c r="C432" s="402"/>
      <c r="D432" s="445"/>
      <c r="E432" s="403"/>
    </row>
    <row r="433" spans="1:7" x14ac:dyDescent="0.2">
      <c r="A433" s="402" t="s">
        <v>1222</v>
      </c>
      <c r="B433" s="402"/>
      <c r="C433" s="402"/>
      <c r="D433" s="403" t="s">
        <v>1349</v>
      </c>
      <c r="E433" s="403"/>
      <c r="G433" s="734"/>
    </row>
    <row r="434" spans="1:7" x14ac:dyDescent="0.2">
      <c r="A434" s="402" t="s">
        <v>1223</v>
      </c>
      <c r="B434" s="481"/>
      <c r="C434" s="402"/>
      <c r="D434" s="445" t="s">
        <v>1387</v>
      </c>
      <c r="E434" s="403"/>
      <c r="G434" s="734"/>
    </row>
    <row r="435" spans="1:7" x14ac:dyDescent="0.2">
      <c r="A435" s="402" t="s">
        <v>1224</v>
      </c>
      <c r="B435" s="408">
        <f>'Feasibility Analysis Worksheet'!E19</f>
        <v>0</v>
      </c>
      <c r="C435" s="402"/>
      <c r="D435" s="402"/>
      <c r="E435" s="403"/>
    </row>
    <row r="436" spans="1:7" x14ac:dyDescent="0.2">
      <c r="A436" s="443" t="s">
        <v>1225</v>
      </c>
      <c r="B436" s="424">
        <f>'Development Budget Worksheet'!C114</f>
        <v>0</v>
      </c>
      <c r="C436" s="402"/>
      <c r="D436" s="403"/>
      <c r="E436" s="403"/>
    </row>
    <row r="437" spans="1:7" x14ac:dyDescent="0.2">
      <c r="A437" s="445" t="s">
        <v>1226</v>
      </c>
      <c r="B437" s="455" t="e">
        <f>'Development Budget Worksheet'!J31</f>
        <v>#DIV/0!</v>
      </c>
      <c r="C437" s="482"/>
      <c r="D437" s="483" t="s">
        <v>1227</v>
      </c>
      <c r="E437" s="484" t="s">
        <v>1228</v>
      </c>
    </row>
    <row r="438" spans="1:7" x14ac:dyDescent="0.2">
      <c r="A438" s="445" t="s">
        <v>1229</v>
      </c>
      <c r="B438" s="455" t="e">
        <f>'Development Budget Worksheet'!J32</f>
        <v>#DIV/0!</v>
      </c>
      <c r="C438" s="482"/>
      <c r="D438" s="483" t="s">
        <v>1230</v>
      </c>
      <c r="E438" s="484" t="s">
        <v>1228</v>
      </c>
    </row>
    <row r="439" spans="1:7" x14ac:dyDescent="0.2">
      <c r="A439" s="445" t="s">
        <v>1231</v>
      </c>
      <c r="B439" s="455" t="e">
        <f>'Development Budget Worksheet'!J33</f>
        <v>#DIV/0!</v>
      </c>
      <c r="C439" s="482"/>
      <c r="D439" s="483" t="s">
        <v>1232</v>
      </c>
      <c r="E439" s="484" t="s">
        <v>1228</v>
      </c>
    </row>
    <row r="440" spans="1:7" x14ac:dyDescent="0.2">
      <c r="A440" s="445" t="s">
        <v>1233</v>
      </c>
      <c r="B440" s="455"/>
      <c r="C440" s="482"/>
      <c r="D440" s="483" t="s">
        <v>1390</v>
      </c>
      <c r="E440" s="484" t="s">
        <v>1228</v>
      </c>
      <c r="G440" s="734"/>
    </row>
    <row r="441" spans="1:7" x14ac:dyDescent="0.2">
      <c r="A441" s="445" t="s">
        <v>1234</v>
      </c>
      <c r="B441" s="455"/>
      <c r="C441" s="402"/>
      <c r="D441" s="483" t="s">
        <v>1391</v>
      </c>
      <c r="E441" s="484" t="s">
        <v>1235</v>
      </c>
      <c r="G441" s="734"/>
    </row>
    <row r="442" spans="1:7" x14ac:dyDescent="0.2">
      <c r="A442" s="402" t="s">
        <v>1236</v>
      </c>
      <c r="B442" s="455"/>
      <c r="C442" s="482"/>
      <c r="D442" s="485" t="s">
        <v>1392</v>
      </c>
      <c r="E442" s="484" t="s">
        <v>1228</v>
      </c>
      <c r="G442" s="734"/>
    </row>
    <row r="443" spans="1:7" x14ac:dyDescent="0.2">
      <c r="A443" s="402" t="s">
        <v>1237</v>
      </c>
      <c r="B443" s="455"/>
      <c r="C443" s="482"/>
      <c r="D443" s="485" t="s">
        <v>1393</v>
      </c>
      <c r="E443" s="484" t="s">
        <v>1228</v>
      </c>
      <c r="G443" s="734"/>
    </row>
    <row r="444" spans="1:7" x14ac:dyDescent="0.2">
      <c r="A444" s="402" t="s">
        <v>1238</v>
      </c>
      <c r="B444" s="455"/>
      <c r="C444" s="482"/>
      <c r="D444" s="485" t="s">
        <v>1394</v>
      </c>
      <c r="E444" s="484" t="s">
        <v>1228</v>
      </c>
      <c r="G444" s="734"/>
    </row>
    <row r="445" spans="1:7" x14ac:dyDescent="0.2">
      <c r="A445" s="402" t="s">
        <v>1239</v>
      </c>
      <c r="B445" s="455"/>
      <c r="C445" s="482"/>
      <c r="D445" s="485" t="s">
        <v>1395</v>
      </c>
      <c r="E445" s="484" t="s">
        <v>1228</v>
      </c>
      <c r="G445" s="734"/>
    </row>
    <row r="446" spans="1:7" x14ac:dyDescent="0.2">
      <c r="A446" s="402" t="s">
        <v>1240</v>
      </c>
      <c r="B446" s="402"/>
      <c r="C446" s="482"/>
      <c r="D446" s="483" t="s">
        <v>1396</v>
      </c>
      <c r="E446" s="484" t="s">
        <v>1228</v>
      </c>
      <c r="G446" s="734"/>
    </row>
    <row r="447" spans="1:7" x14ac:dyDescent="0.2">
      <c r="A447" s="402" t="s">
        <v>1241</v>
      </c>
      <c r="B447" s="455" t="str">
        <f>'Feasibility Analysis Worksheet'!M7</f>
        <v>TRUE</v>
      </c>
      <c r="C447" s="482"/>
      <c r="D447" s="483" t="s">
        <v>1467</v>
      </c>
      <c r="E447" s="484" t="s">
        <v>1228</v>
      </c>
      <c r="F447" s="457"/>
    </row>
    <row r="448" spans="1:7" x14ac:dyDescent="0.2">
      <c r="A448" s="402" t="s">
        <v>1242</v>
      </c>
      <c r="B448" s="455"/>
      <c r="C448" s="402"/>
      <c r="D448" s="486" t="s">
        <v>1397</v>
      </c>
      <c r="E448" s="484" t="s">
        <v>1228</v>
      </c>
      <c r="G448" s="734"/>
    </row>
    <row r="449" spans="1:8" x14ac:dyDescent="0.2">
      <c r="A449" s="445" t="s">
        <v>1243</v>
      </c>
      <c r="B449" s="481"/>
      <c r="C449" s="402"/>
      <c r="D449" s="487" t="s">
        <v>1398</v>
      </c>
      <c r="E449" s="484"/>
      <c r="G449" s="734"/>
    </row>
    <row r="450" spans="1:8" x14ac:dyDescent="0.2">
      <c r="A450" s="445" t="s">
        <v>1244</v>
      </c>
      <c r="B450" s="447">
        <f>'Housing Pro Forma'!V58</f>
        <v>0</v>
      </c>
      <c r="C450" s="402"/>
      <c r="D450" s="487" t="s">
        <v>1245</v>
      </c>
      <c r="E450" s="484"/>
    </row>
    <row r="451" spans="1:8" x14ac:dyDescent="0.2">
      <c r="A451" s="445" t="s">
        <v>1246</v>
      </c>
      <c r="B451" s="455"/>
      <c r="C451" s="402"/>
      <c r="D451" s="445" t="s">
        <v>1388</v>
      </c>
      <c r="E451" s="484"/>
      <c r="G451" s="734"/>
    </row>
    <row r="452" spans="1:8" x14ac:dyDescent="0.2">
      <c r="A452" s="445" t="s">
        <v>1247</v>
      </c>
      <c r="B452" s="481">
        <f>'Sources of Funds Worksheet'!R14</f>
        <v>0</v>
      </c>
      <c r="C452" s="402"/>
      <c r="D452" s="487" t="s">
        <v>1248</v>
      </c>
      <c r="E452" s="484"/>
    </row>
    <row r="453" spans="1:8" x14ac:dyDescent="0.2">
      <c r="A453" s="445" t="s">
        <v>1249</v>
      </c>
      <c r="B453" s="447" t="e">
        <f>'Development Budget Worksheet'!J29</f>
        <v>#DIV/0!</v>
      </c>
      <c r="C453" s="402"/>
      <c r="D453" s="488" t="s">
        <v>1250</v>
      </c>
      <c r="E453" s="402"/>
    </row>
    <row r="454" spans="1:8" x14ac:dyDescent="0.2">
      <c r="A454" s="402" t="s">
        <v>1251</v>
      </c>
      <c r="B454" s="455">
        <f>'Feasibility Analysis Worksheet'!L16</f>
        <v>0</v>
      </c>
      <c r="C454" s="402"/>
      <c r="D454" s="445"/>
      <c r="E454" s="403"/>
    </row>
    <row r="455" spans="1:8" x14ac:dyDescent="0.2">
      <c r="A455" s="402" t="s">
        <v>1252</v>
      </c>
      <c r="B455" s="455"/>
      <c r="C455" s="402"/>
      <c r="D455" s="445" t="s">
        <v>1388</v>
      </c>
      <c r="E455" s="403"/>
      <c r="G455" s="734"/>
    </row>
    <row r="456" spans="1:8" x14ac:dyDescent="0.2">
      <c r="A456" s="402" t="s">
        <v>1253</v>
      </c>
      <c r="B456" s="455"/>
      <c r="C456" s="402"/>
      <c r="D456" s="445" t="s">
        <v>1387</v>
      </c>
      <c r="E456" s="403"/>
      <c r="G456" s="734"/>
    </row>
    <row r="457" spans="1:8" x14ac:dyDescent="0.2">
      <c r="A457" s="402" t="s">
        <v>1254</v>
      </c>
      <c r="B457" s="455"/>
      <c r="C457" s="402"/>
      <c r="D457" s="403" t="s">
        <v>1349</v>
      </c>
      <c r="E457" s="403"/>
      <c r="G457" s="734"/>
    </row>
    <row r="458" spans="1:8" x14ac:dyDescent="0.2">
      <c r="A458" s="445" t="s">
        <v>1255</v>
      </c>
      <c r="B458" s="447"/>
      <c r="C458" s="402"/>
      <c r="D458" s="403" t="s">
        <v>1349</v>
      </c>
      <c r="E458" s="403"/>
      <c r="G458" s="734"/>
    </row>
    <row r="459" spans="1:8" x14ac:dyDescent="0.2">
      <c r="A459" s="402" t="s">
        <v>1256</v>
      </c>
      <c r="B459" s="760" t="s">
        <v>1760</v>
      </c>
      <c r="C459" s="402"/>
      <c r="D459" s="445" t="s">
        <v>1400</v>
      </c>
      <c r="E459" s="403"/>
    </row>
    <row r="460" spans="1:8" x14ac:dyDescent="0.2">
      <c r="A460" s="402" t="s">
        <v>1284</v>
      </c>
      <c r="B460" s="455" t="b">
        <v>1</v>
      </c>
      <c r="C460" s="402"/>
      <c r="D460" s="445" t="s">
        <v>1401</v>
      </c>
      <c r="E460" s="404" t="s">
        <v>1320</v>
      </c>
      <c r="F460" s="457"/>
    </row>
    <row r="461" spans="1:8" s="403" customFormat="1" x14ac:dyDescent="0.2">
      <c r="A461" s="445" t="s">
        <v>1405</v>
      </c>
      <c r="B461" s="759">
        <v>2</v>
      </c>
      <c r="C461" s="402"/>
      <c r="D461" s="402"/>
      <c r="G461" s="733"/>
      <c r="H461" s="424"/>
    </row>
    <row r="462" spans="1:8" s="403" customFormat="1" x14ac:dyDescent="0.2">
      <c r="A462" s="445" t="s">
        <v>1406</v>
      </c>
      <c r="B462" s="445" t="s">
        <v>1407</v>
      </c>
      <c r="C462" s="402"/>
      <c r="D462" s="402"/>
      <c r="G462" s="733"/>
      <c r="H462" s="424"/>
    </row>
    <row r="463" spans="1:8" x14ac:dyDescent="0.2">
      <c r="A463" s="445" t="s">
        <v>1408</v>
      </c>
      <c r="B463" s="489">
        <f>'Feasibility Analysis Worksheet'!L8</f>
        <v>3200</v>
      </c>
      <c r="F463" s="405" t="s">
        <v>1410</v>
      </c>
    </row>
    <row r="464" spans="1:8" x14ac:dyDescent="0.2">
      <c r="A464" s="445" t="s">
        <v>1409</v>
      </c>
      <c r="B464" s="489">
        <f>'Feasibility Analysis Worksheet'!L9</f>
        <v>6000</v>
      </c>
      <c r="F464" s="405" t="s">
        <v>1410</v>
      </c>
    </row>
    <row r="465" spans="1:8" s="403" customFormat="1" x14ac:dyDescent="0.2">
      <c r="A465" s="445" t="s">
        <v>1406</v>
      </c>
      <c r="B465" s="402" t="s">
        <v>1407</v>
      </c>
      <c r="C465" s="402"/>
      <c r="D465" s="402"/>
      <c r="H465" s="424"/>
    </row>
    <row r="466" spans="1:8" s="403" customFormat="1" x14ac:dyDescent="0.2">
      <c r="A466" s="402" t="s">
        <v>1405</v>
      </c>
      <c r="B466" s="402">
        <v>1</v>
      </c>
      <c r="C466" s="402"/>
      <c r="D466" s="402"/>
      <c r="H466" s="424"/>
    </row>
    <row r="467" spans="1:8" x14ac:dyDescent="0.2">
      <c r="A467" s="446" t="s">
        <v>1705</v>
      </c>
      <c r="B467" s="751">
        <f>'Feasibility Analysis Worksheet'!E23</f>
        <v>0</v>
      </c>
      <c r="C467" s="402"/>
      <c r="D467" s="643" t="s">
        <v>1672</v>
      </c>
      <c r="E467" s="643" t="s">
        <v>1677</v>
      </c>
      <c r="G467" s="738"/>
    </row>
    <row r="468" spans="1:8" x14ac:dyDescent="0.2">
      <c r="A468" s="736" t="s">
        <v>1706</v>
      </c>
      <c r="B468" s="751">
        <f>'Feasibility Analysis Worksheet'!E18</f>
        <v>0</v>
      </c>
      <c r="C468" s="402"/>
      <c r="D468" s="643" t="s">
        <v>1673</v>
      </c>
      <c r="E468" s="643" t="s">
        <v>1677</v>
      </c>
      <c r="G468" s="738"/>
    </row>
    <row r="469" spans="1:8" x14ac:dyDescent="0.2">
      <c r="A469" s="736" t="s">
        <v>1707</v>
      </c>
      <c r="B469" s="424">
        <v>350</v>
      </c>
      <c r="C469" s="402"/>
      <c r="D469" s="736" t="s">
        <v>1674</v>
      </c>
      <c r="E469" s="643" t="s">
        <v>1677</v>
      </c>
      <c r="G469" s="738"/>
    </row>
    <row r="470" spans="1:8" x14ac:dyDescent="0.2">
      <c r="A470" s="736" t="s">
        <v>1708</v>
      </c>
      <c r="B470" s="424" t="e">
        <f>'Feasibility Analysis Worksheet'!L10</f>
        <v>#DIV/0!</v>
      </c>
      <c r="C470" s="402"/>
      <c r="D470" s="736" t="s">
        <v>1719</v>
      </c>
      <c r="E470" s="643" t="s">
        <v>1677</v>
      </c>
      <c r="G470" s="738"/>
    </row>
    <row r="471" spans="1:8" x14ac:dyDescent="0.2">
      <c r="A471" s="736" t="s">
        <v>1709</v>
      </c>
      <c r="B471" s="470">
        <f>'Feasibility Analysis Worksheet'!E21</f>
        <v>0</v>
      </c>
      <c r="C471" s="402"/>
      <c r="D471" s="736" t="s">
        <v>1714</v>
      </c>
      <c r="E471" s="643" t="s">
        <v>1677</v>
      </c>
      <c r="G471" s="738"/>
    </row>
    <row r="472" spans="1:8" x14ac:dyDescent="0.2">
      <c r="A472" s="736" t="s">
        <v>1710</v>
      </c>
      <c r="B472" s="470">
        <v>9</v>
      </c>
      <c r="C472" s="402"/>
      <c r="D472" s="736" t="s">
        <v>1713</v>
      </c>
      <c r="E472" s="643" t="s">
        <v>1677</v>
      </c>
      <c r="G472" s="738"/>
    </row>
    <row r="473" spans="1:8" x14ac:dyDescent="0.2">
      <c r="A473" s="736" t="s">
        <v>1711</v>
      </c>
      <c r="B473" s="751" t="str">
        <f>'Feasibility Analysis Worksheet'!L12</f>
        <v>NA</v>
      </c>
      <c r="D473" s="753" t="s">
        <v>1723</v>
      </c>
      <c r="E473" s="643" t="s">
        <v>1677</v>
      </c>
    </row>
    <row r="474" spans="1:8" x14ac:dyDescent="0.2">
      <c r="A474" s="736" t="s">
        <v>1712</v>
      </c>
      <c r="B474" s="735">
        <f>'Feasibility Analysis Worksheet'!L21</f>
        <v>0</v>
      </c>
      <c r="C474" s="402"/>
      <c r="D474" s="736" t="s">
        <v>1676</v>
      </c>
      <c r="E474" s="643" t="s">
        <v>1677</v>
      </c>
    </row>
    <row r="475" spans="1:8" ht="13.5" thickBot="1" x14ac:dyDescent="0.25">
      <c r="D475" s="643"/>
    </row>
    <row r="476" spans="1:8" x14ac:dyDescent="0.2">
      <c r="G476" s="739" t="s">
        <v>1680</v>
      </c>
      <c r="H476" s="740"/>
    </row>
    <row r="477" spans="1:8" x14ac:dyDescent="0.2">
      <c r="G477" s="741"/>
      <c r="H477" s="742" t="s">
        <v>1681</v>
      </c>
    </row>
    <row r="478" spans="1:8" x14ac:dyDescent="0.2">
      <c r="G478" s="743"/>
      <c r="H478" s="742" t="s">
        <v>1678</v>
      </c>
    </row>
    <row r="479" spans="1:8" x14ac:dyDescent="0.2">
      <c r="G479" s="744"/>
      <c r="H479" s="742" t="s">
        <v>1679</v>
      </c>
    </row>
    <row r="480" spans="1:8" ht="13.5" thickBot="1" x14ac:dyDescent="0.25">
      <c r="G480" s="745"/>
      <c r="H480" s="746" t="s">
        <v>1682</v>
      </c>
    </row>
  </sheetData>
  <sheetProtection algorithmName="SHA-512" hashValue="mH+W2/rj7pxORfMh2kYh2T2RW5hen5ONi3MbafcFxoRbOQrSnf1CxXjNFC+IyIb1fnhI5DjQlGl1PQmuyGXJPg==" saltValue="J6VDLBh3MHZwaQ4ZzvP3FQ==" spinCount="100000" sheet="1" objects="1" scenarios="1"/>
  <phoneticPr fontId="99" type="noConversion"/>
  <pageMargins left="0.7" right="0.7" top="0.75" bottom="0.75" header="0.3" footer="0.3"/>
  <pageSetup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D48E55-E4D8-4519-883A-1BD6B741767D}">
  <sheetPr codeName="Sheet11"/>
  <dimension ref="B2:Y366"/>
  <sheetViews>
    <sheetView zoomScaleNormal="100" workbookViewId="0">
      <pane xSplit="5" ySplit="2" topLeftCell="L3" activePane="bottomRight" state="frozen"/>
      <selection pane="topRight" activeCell="F1" sqref="F1"/>
      <selection pane="bottomLeft" activeCell="A3" sqref="A3"/>
      <selection pane="bottomRight" activeCell="X8" sqref="X8"/>
    </sheetView>
  </sheetViews>
  <sheetFormatPr defaultRowHeight="12.75" x14ac:dyDescent="0.2"/>
  <cols>
    <col min="3" max="3" width="10.42578125" bestFit="1" customWidth="1"/>
    <col min="5" max="5" width="26.42578125" bestFit="1" customWidth="1"/>
    <col min="6" max="9" width="10.85546875" bestFit="1" customWidth="1"/>
    <col min="10" max="10" width="13.42578125" style="815" bestFit="1" customWidth="1"/>
    <col min="11" max="12" width="13.42578125" bestFit="1" customWidth="1"/>
    <col min="13" max="13" width="13" customWidth="1"/>
    <col min="14" max="14" width="11.28515625" style="814" customWidth="1"/>
    <col min="15" max="15" width="11" style="696" customWidth="1"/>
    <col min="16" max="16" width="11.42578125" style="696" customWidth="1"/>
    <col min="17" max="17" width="11.140625" style="696" customWidth="1"/>
    <col min="18" max="18" width="11.140625" style="815" bestFit="1" customWidth="1"/>
    <col min="19" max="21" width="11.140625" bestFit="1" customWidth="1"/>
    <col min="22" max="22" width="11.140625" style="843" bestFit="1" customWidth="1"/>
    <col min="23" max="25" width="11.140625" style="844" bestFit="1" customWidth="1"/>
  </cols>
  <sheetData>
    <row r="2" spans="2:25" ht="30" x14ac:dyDescent="0.25">
      <c r="B2" s="850" t="s">
        <v>1698</v>
      </c>
      <c r="C2" s="850"/>
      <c r="E2" s="694"/>
      <c r="F2" s="543" t="s">
        <v>1611</v>
      </c>
      <c r="G2" s="543" t="s">
        <v>1612</v>
      </c>
      <c r="H2" s="543" t="s">
        <v>1613</v>
      </c>
      <c r="I2" s="543" t="s">
        <v>1614</v>
      </c>
      <c r="J2" s="813" t="s">
        <v>1701</v>
      </c>
      <c r="K2" s="543" t="s">
        <v>1702</v>
      </c>
      <c r="L2" s="543" t="s">
        <v>1703</v>
      </c>
      <c r="M2" s="543" t="s">
        <v>1704</v>
      </c>
      <c r="N2" s="813" t="s">
        <v>1765</v>
      </c>
      <c r="O2" s="543" t="s">
        <v>1766</v>
      </c>
      <c r="P2" s="543" t="s">
        <v>1767</v>
      </c>
      <c r="Q2" s="543" t="s">
        <v>1768</v>
      </c>
      <c r="R2" s="813" t="s">
        <v>1777</v>
      </c>
      <c r="S2" s="543" t="s">
        <v>1778</v>
      </c>
      <c r="T2" s="543" t="s">
        <v>1779</v>
      </c>
      <c r="U2" s="543" t="s">
        <v>1780</v>
      </c>
      <c r="V2" s="841" t="s">
        <v>1784</v>
      </c>
      <c r="W2" s="842" t="s">
        <v>1785</v>
      </c>
      <c r="X2" s="842" t="s">
        <v>1786</v>
      </c>
      <c r="Y2" s="842" t="s">
        <v>1787</v>
      </c>
    </row>
    <row r="3" spans="2:25" ht="15" x14ac:dyDescent="0.25">
      <c r="B3" s="748">
        <v>2021</v>
      </c>
      <c r="C3" s="749">
        <v>44197</v>
      </c>
      <c r="E3" s="695" t="s">
        <v>598</v>
      </c>
      <c r="F3" s="696">
        <v>39500</v>
      </c>
      <c r="G3" s="696">
        <v>52150</v>
      </c>
      <c r="H3" s="696">
        <v>63200</v>
      </c>
      <c r="I3" s="696">
        <v>83400</v>
      </c>
      <c r="J3" s="814">
        <v>44150</v>
      </c>
      <c r="K3" s="696">
        <v>58300</v>
      </c>
      <c r="L3" s="696">
        <v>70650</v>
      </c>
      <c r="M3" s="696">
        <v>93250</v>
      </c>
      <c r="N3" s="814">
        <v>46750</v>
      </c>
      <c r="O3" s="696">
        <v>61750</v>
      </c>
      <c r="P3" s="696">
        <v>74800</v>
      </c>
      <c r="Q3" s="696">
        <v>98750</v>
      </c>
      <c r="R3" s="814">
        <v>51400</v>
      </c>
      <c r="S3" s="696">
        <v>67850</v>
      </c>
      <c r="T3" s="696">
        <v>82250</v>
      </c>
      <c r="U3" s="696">
        <v>108600</v>
      </c>
      <c r="V3" s="843">
        <v>56100</v>
      </c>
      <c r="W3" s="844">
        <v>74100</v>
      </c>
      <c r="X3" s="844">
        <v>89750</v>
      </c>
      <c r="Y3" s="844">
        <v>118500</v>
      </c>
    </row>
    <row r="4" spans="2:25" ht="15" x14ac:dyDescent="0.25">
      <c r="B4" s="748">
        <v>2022</v>
      </c>
      <c r="C4" s="749">
        <v>44774</v>
      </c>
      <c r="E4" s="695" t="s">
        <v>599</v>
      </c>
      <c r="F4" s="696">
        <v>34300</v>
      </c>
      <c r="G4" s="696">
        <v>45300</v>
      </c>
      <c r="H4" s="696">
        <v>54900</v>
      </c>
      <c r="I4" s="696">
        <v>72450</v>
      </c>
      <c r="J4" s="814">
        <v>38350</v>
      </c>
      <c r="K4" s="696">
        <v>50650</v>
      </c>
      <c r="L4" s="696">
        <v>61350</v>
      </c>
      <c r="M4" s="696">
        <v>81000</v>
      </c>
      <c r="N4" s="814">
        <v>40600</v>
      </c>
      <c r="O4" s="696">
        <v>53600</v>
      </c>
      <c r="P4" s="696">
        <v>64950</v>
      </c>
      <c r="Q4" s="696">
        <v>85750</v>
      </c>
      <c r="R4" s="814">
        <v>44650</v>
      </c>
      <c r="S4" s="696">
        <v>58950</v>
      </c>
      <c r="T4" s="696">
        <v>71400</v>
      </c>
      <c r="U4" s="696">
        <v>94250</v>
      </c>
      <c r="V4" s="843">
        <v>48050</v>
      </c>
      <c r="W4" s="844">
        <v>63450</v>
      </c>
      <c r="X4" s="844">
        <v>76900</v>
      </c>
      <c r="Y4" s="844">
        <v>101550</v>
      </c>
    </row>
    <row r="5" spans="2:25" ht="15" x14ac:dyDescent="0.25">
      <c r="B5" s="748">
        <v>2023</v>
      </c>
      <c r="C5" s="750">
        <v>45159</v>
      </c>
      <c r="E5" s="697" t="s">
        <v>213</v>
      </c>
      <c r="F5" s="696">
        <v>27150</v>
      </c>
      <c r="G5" s="696">
        <v>35850</v>
      </c>
      <c r="H5" s="696">
        <v>43450</v>
      </c>
      <c r="I5" s="696">
        <v>57350</v>
      </c>
      <c r="J5" s="814">
        <v>30350</v>
      </c>
      <c r="K5" s="696">
        <v>40100</v>
      </c>
      <c r="L5" s="696">
        <v>48550</v>
      </c>
      <c r="M5" s="696">
        <v>64100</v>
      </c>
      <c r="N5" s="814">
        <v>32100</v>
      </c>
      <c r="O5" s="696">
        <v>42400</v>
      </c>
      <c r="P5" s="696">
        <v>51350</v>
      </c>
      <c r="Q5" s="696">
        <v>67800</v>
      </c>
      <c r="R5" s="814">
        <v>33250</v>
      </c>
      <c r="S5" s="696">
        <v>43900</v>
      </c>
      <c r="T5" s="696">
        <v>53200</v>
      </c>
      <c r="U5" s="696">
        <v>70250</v>
      </c>
      <c r="V5" s="843">
        <v>36300</v>
      </c>
      <c r="W5" s="844">
        <v>47950</v>
      </c>
      <c r="X5" s="844">
        <v>58100</v>
      </c>
      <c r="Y5" s="844">
        <v>76700</v>
      </c>
    </row>
    <row r="6" spans="2:25" ht="15" x14ac:dyDescent="0.25">
      <c r="B6" s="748">
        <v>2024</v>
      </c>
      <c r="C6" s="750">
        <v>45536</v>
      </c>
      <c r="E6" s="697" t="s">
        <v>214</v>
      </c>
      <c r="F6" s="696">
        <v>27050</v>
      </c>
      <c r="G6" s="696">
        <v>35750</v>
      </c>
      <c r="H6" s="696">
        <v>43300</v>
      </c>
      <c r="I6" s="696">
        <v>57150</v>
      </c>
      <c r="J6" s="814">
        <v>30100</v>
      </c>
      <c r="K6" s="696">
        <v>39750</v>
      </c>
      <c r="L6" s="696">
        <v>48150</v>
      </c>
      <c r="M6" s="696">
        <v>63550</v>
      </c>
      <c r="N6" s="814">
        <v>31700</v>
      </c>
      <c r="O6" s="696">
        <v>41850</v>
      </c>
      <c r="P6" s="696">
        <v>50700</v>
      </c>
      <c r="Q6" s="696">
        <v>66900</v>
      </c>
      <c r="R6" s="814">
        <v>32600</v>
      </c>
      <c r="S6" s="696">
        <v>43050</v>
      </c>
      <c r="T6" s="696">
        <v>52150</v>
      </c>
      <c r="U6" s="696">
        <v>68850</v>
      </c>
      <c r="V6" s="843">
        <v>33550</v>
      </c>
      <c r="W6" s="844">
        <v>44300</v>
      </c>
      <c r="X6" s="844">
        <v>53700</v>
      </c>
      <c r="Y6" s="844">
        <v>70900</v>
      </c>
    </row>
    <row r="7" spans="2:25" ht="15" x14ac:dyDescent="0.25">
      <c r="B7" s="748">
        <v>2025</v>
      </c>
      <c r="C7" s="749">
        <v>45901</v>
      </c>
      <c r="E7" s="697" t="s">
        <v>600</v>
      </c>
      <c r="F7" s="696">
        <v>59100</v>
      </c>
      <c r="G7" s="696">
        <v>78050</v>
      </c>
      <c r="H7" s="696">
        <v>96000</v>
      </c>
      <c r="I7" s="696">
        <v>126700</v>
      </c>
      <c r="J7" s="814">
        <v>59550</v>
      </c>
      <c r="K7" s="696">
        <v>78650</v>
      </c>
      <c r="L7" s="696">
        <v>96000</v>
      </c>
      <c r="M7" s="696">
        <v>126700</v>
      </c>
      <c r="N7" s="814">
        <v>63050</v>
      </c>
      <c r="O7" s="696">
        <v>83250</v>
      </c>
      <c r="P7" s="696">
        <v>103600</v>
      </c>
      <c r="Q7" s="696">
        <v>136750</v>
      </c>
      <c r="R7" s="814">
        <v>69350</v>
      </c>
      <c r="S7" s="696">
        <v>91550</v>
      </c>
      <c r="T7" s="696">
        <v>113950</v>
      </c>
      <c r="U7" s="696">
        <v>150400</v>
      </c>
      <c r="V7" s="843">
        <v>75750</v>
      </c>
      <c r="W7" s="844">
        <v>100000</v>
      </c>
      <c r="X7" s="844">
        <v>122400</v>
      </c>
      <c r="Y7" s="844">
        <v>161600</v>
      </c>
    </row>
    <row r="8" spans="2:25" ht="15" x14ac:dyDescent="0.25">
      <c r="B8" s="748"/>
      <c r="C8" s="749"/>
      <c r="E8" s="697" t="s">
        <v>215</v>
      </c>
      <c r="F8" s="696">
        <v>52400</v>
      </c>
      <c r="G8" s="696">
        <v>69200</v>
      </c>
      <c r="H8" s="696">
        <v>79900</v>
      </c>
      <c r="I8" s="696">
        <v>105450</v>
      </c>
      <c r="J8" s="814">
        <v>58600</v>
      </c>
      <c r="K8" s="696">
        <v>77400</v>
      </c>
      <c r="L8" s="696">
        <v>90000</v>
      </c>
      <c r="M8" s="696">
        <v>118800</v>
      </c>
      <c r="N8" s="814">
        <v>62050</v>
      </c>
      <c r="O8" s="696">
        <v>81950</v>
      </c>
      <c r="P8" s="696">
        <v>96200</v>
      </c>
      <c r="Q8" s="696">
        <v>127000</v>
      </c>
      <c r="R8" s="814">
        <v>65200</v>
      </c>
      <c r="S8" s="696">
        <v>86100</v>
      </c>
      <c r="T8" s="696">
        <v>102650</v>
      </c>
      <c r="U8" s="696">
        <v>135500</v>
      </c>
      <c r="V8" s="843">
        <v>70050</v>
      </c>
      <c r="W8" s="844">
        <v>92500</v>
      </c>
      <c r="X8" s="844">
        <v>104200</v>
      </c>
      <c r="Y8" s="844">
        <v>137550</v>
      </c>
    </row>
    <row r="9" spans="2:25" ht="15" x14ac:dyDescent="0.25">
      <c r="B9" s="748"/>
      <c r="C9" s="750"/>
      <c r="E9" s="697" t="s">
        <v>216</v>
      </c>
      <c r="F9" s="696">
        <v>36750</v>
      </c>
      <c r="G9" s="696">
        <v>48550</v>
      </c>
      <c r="H9" s="696">
        <v>58800</v>
      </c>
      <c r="I9" s="696">
        <v>77600</v>
      </c>
      <c r="J9" s="814">
        <v>41100</v>
      </c>
      <c r="K9" s="696">
        <v>54300</v>
      </c>
      <c r="L9" s="696">
        <v>65750</v>
      </c>
      <c r="M9" s="696">
        <v>86800</v>
      </c>
      <c r="N9" s="814">
        <v>43500</v>
      </c>
      <c r="O9" s="696">
        <v>57450</v>
      </c>
      <c r="P9" s="696">
        <v>69600</v>
      </c>
      <c r="Q9" s="696">
        <v>91850</v>
      </c>
      <c r="R9" s="814">
        <v>47100</v>
      </c>
      <c r="S9" s="696">
        <v>62200</v>
      </c>
      <c r="T9" s="696">
        <v>75350</v>
      </c>
      <c r="U9" s="696">
        <v>99500</v>
      </c>
      <c r="V9" s="843">
        <v>51000</v>
      </c>
      <c r="W9" s="844">
        <v>67350</v>
      </c>
      <c r="X9" s="844">
        <v>81600</v>
      </c>
      <c r="Y9" s="844">
        <v>107750</v>
      </c>
    </row>
    <row r="10" spans="2:25" ht="15" x14ac:dyDescent="0.25">
      <c r="B10" s="748"/>
      <c r="C10" s="750"/>
      <c r="E10" s="697" t="s">
        <v>217</v>
      </c>
      <c r="F10" s="696">
        <v>52400</v>
      </c>
      <c r="G10" s="696">
        <v>69200</v>
      </c>
      <c r="H10" s="696">
        <v>79900</v>
      </c>
      <c r="I10" s="696">
        <v>105450</v>
      </c>
      <c r="J10" s="814">
        <v>58600</v>
      </c>
      <c r="K10" s="696">
        <v>77400</v>
      </c>
      <c r="L10" s="696">
        <v>90000</v>
      </c>
      <c r="M10" s="696">
        <v>118800</v>
      </c>
      <c r="N10" s="814">
        <v>62050</v>
      </c>
      <c r="O10" s="696">
        <v>81950</v>
      </c>
      <c r="P10" s="696">
        <v>96200</v>
      </c>
      <c r="Q10" s="696">
        <v>127000</v>
      </c>
      <c r="R10" s="814">
        <v>65200</v>
      </c>
      <c r="S10" s="696">
        <v>86100</v>
      </c>
      <c r="T10" s="696">
        <v>102650</v>
      </c>
      <c r="U10" s="696">
        <v>135500</v>
      </c>
      <c r="V10" s="843">
        <v>70050</v>
      </c>
      <c r="W10" s="844">
        <v>92500</v>
      </c>
      <c r="X10" s="844">
        <v>104200</v>
      </c>
      <c r="Y10" s="844">
        <v>137550</v>
      </c>
    </row>
    <row r="11" spans="2:25" ht="15" x14ac:dyDescent="0.25">
      <c r="B11" s="748"/>
      <c r="C11" s="749"/>
      <c r="E11" s="697" t="s">
        <v>218</v>
      </c>
      <c r="F11" s="696">
        <v>36750</v>
      </c>
      <c r="G11" s="696">
        <v>48550</v>
      </c>
      <c r="H11" s="696">
        <v>58800</v>
      </c>
      <c r="I11" s="696">
        <v>77600</v>
      </c>
      <c r="J11" s="814">
        <v>41100</v>
      </c>
      <c r="K11" s="696">
        <v>54300</v>
      </c>
      <c r="L11" s="696">
        <v>65750</v>
      </c>
      <c r="M11" s="696">
        <v>86800</v>
      </c>
      <c r="N11" s="814">
        <v>43500</v>
      </c>
      <c r="O11" s="696">
        <v>57450</v>
      </c>
      <c r="P11" s="696">
        <v>69600</v>
      </c>
      <c r="Q11" s="696">
        <v>91850</v>
      </c>
      <c r="R11" s="814">
        <v>47100</v>
      </c>
      <c r="S11" s="696">
        <v>62200</v>
      </c>
      <c r="T11" s="696">
        <v>75350</v>
      </c>
      <c r="U11" s="696">
        <v>99500</v>
      </c>
      <c r="V11" s="843">
        <v>51000</v>
      </c>
      <c r="W11" s="844">
        <v>67350</v>
      </c>
      <c r="X11" s="844">
        <v>81600</v>
      </c>
      <c r="Y11" s="844">
        <v>107750</v>
      </c>
    </row>
    <row r="12" spans="2:25" ht="15" x14ac:dyDescent="0.25">
      <c r="B12" s="748"/>
      <c r="C12" s="749"/>
      <c r="E12" s="697" t="s">
        <v>219</v>
      </c>
      <c r="F12" s="696">
        <v>36750</v>
      </c>
      <c r="G12" s="696">
        <v>48550</v>
      </c>
      <c r="H12" s="696">
        <v>58800</v>
      </c>
      <c r="I12" s="696">
        <v>77600</v>
      </c>
      <c r="J12" s="814">
        <v>41100</v>
      </c>
      <c r="K12" s="696">
        <v>54300</v>
      </c>
      <c r="L12" s="696">
        <v>65750</v>
      </c>
      <c r="M12" s="696">
        <v>86800</v>
      </c>
      <c r="N12" s="814">
        <v>43500</v>
      </c>
      <c r="O12" s="696">
        <v>57450</v>
      </c>
      <c r="P12" s="696">
        <v>69600</v>
      </c>
      <c r="Q12" s="696">
        <v>91850</v>
      </c>
      <c r="R12" s="814">
        <v>47100</v>
      </c>
      <c r="S12" s="696">
        <v>62200</v>
      </c>
      <c r="T12" s="696">
        <v>75350</v>
      </c>
      <c r="U12" s="696">
        <v>99500</v>
      </c>
      <c r="V12" s="843">
        <v>51000</v>
      </c>
      <c r="W12" s="844">
        <v>67350</v>
      </c>
      <c r="X12" s="844">
        <v>81600</v>
      </c>
      <c r="Y12" s="844">
        <v>107750</v>
      </c>
    </row>
    <row r="13" spans="2:25" ht="15" x14ac:dyDescent="0.25">
      <c r="B13" s="748"/>
      <c r="C13" s="750"/>
      <c r="E13" s="697" t="s">
        <v>220</v>
      </c>
      <c r="F13" s="696">
        <v>36750</v>
      </c>
      <c r="G13" s="696">
        <v>48550</v>
      </c>
      <c r="H13" s="696">
        <v>58800</v>
      </c>
      <c r="I13" s="696">
        <v>77600</v>
      </c>
      <c r="J13" s="814">
        <v>41100</v>
      </c>
      <c r="K13" s="696">
        <v>54300</v>
      </c>
      <c r="L13" s="696">
        <v>65750</v>
      </c>
      <c r="M13" s="696">
        <v>86800</v>
      </c>
      <c r="N13" s="814">
        <v>43500</v>
      </c>
      <c r="O13" s="696">
        <v>57450</v>
      </c>
      <c r="P13" s="696">
        <v>69600</v>
      </c>
      <c r="Q13" s="696">
        <v>91850</v>
      </c>
      <c r="R13" s="814">
        <v>47100</v>
      </c>
      <c r="S13" s="696">
        <v>62200</v>
      </c>
      <c r="T13" s="696">
        <v>75350</v>
      </c>
      <c r="U13" s="696">
        <v>99500</v>
      </c>
      <c r="V13" s="843">
        <v>51000</v>
      </c>
      <c r="W13" s="844">
        <v>67350</v>
      </c>
      <c r="X13" s="844">
        <v>81600</v>
      </c>
      <c r="Y13" s="844">
        <v>107750</v>
      </c>
    </row>
    <row r="14" spans="2:25" ht="15" x14ac:dyDescent="0.25">
      <c r="B14" s="748"/>
      <c r="C14" s="750"/>
      <c r="E14" s="697" t="s">
        <v>221</v>
      </c>
      <c r="F14" s="696">
        <v>58450</v>
      </c>
      <c r="G14" s="696">
        <v>77200</v>
      </c>
      <c r="H14" s="696">
        <v>80400</v>
      </c>
      <c r="I14" s="696">
        <v>106150</v>
      </c>
      <c r="J14" s="814">
        <v>62700</v>
      </c>
      <c r="K14" s="696">
        <v>82800</v>
      </c>
      <c r="L14" s="696">
        <v>90000</v>
      </c>
      <c r="M14" s="696">
        <v>118800</v>
      </c>
      <c r="N14" s="814">
        <v>66400</v>
      </c>
      <c r="O14" s="696">
        <v>87650</v>
      </c>
      <c r="P14" s="696">
        <v>96200</v>
      </c>
      <c r="Q14" s="696">
        <v>127000</v>
      </c>
      <c r="R14" s="814">
        <v>73000</v>
      </c>
      <c r="S14" s="696">
        <v>96400</v>
      </c>
      <c r="T14" s="696">
        <v>103350</v>
      </c>
      <c r="U14" s="696">
        <v>136450</v>
      </c>
      <c r="V14" s="843">
        <v>75300</v>
      </c>
      <c r="W14" s="844">
        <v>99400</v>
      </c>
      <c r="X14" s="844">
        <v>104200</v>
      </c>
      <c r="Y14" s="844">
        <v>137550</v>
      </c>
    </row>
    <row r="15" spans="2:25" ht="15" x14ac:dyDescent="0.25">
      <c r="B15" s="748"/>
      <c r="C15" s="749"/>
      <c r="E15" s="695" t="s">
        <v>601</v>
      </c>
      <c r="F15" s="696">
        <v>52400</v>
      </c>
      <c r="G15" s="696">
        <v>69200</v>
      </c>
      <c r="H15" s="696">
        <v>79900</v>
      </c>
      <c r="I15" s="696">
        <v>105450</v>
      </c>
      <c r="J15" s="814">
        <v>58600</v>
      </c>
      <c r="K15" s="696">
        <v>77400</v>
      </c>
      <c r="L15" s="696">
        <v>90000</v>
      </c>
      <c r="M15" s="696">
        <v>118800</v>
      </c>
      <c r="N15" s="814">
        <v>62050</v>
      </c>
      <c r="O15" s="696">
        <v>81950</v>
      </c>
      <c r="P15" s="696">
        <v>96200</v>
      </c>
      <c r="Q15" s="696">
        <v>127000</v>
      </c>
      <c r="R15" s="814">
        <v>65200</v>
      </c>
      <c r="S15" s="696">
        <v>86100</v>
      </c>
      <c r="T15" s="696">
        <v>102650</v>
      </c>
      <c r="U15" s="696">
        <v>135500</v>
      </c>
      <c r="V15" s="843">
        <v>70050</v>
      </c>
      <c r="W15" s="844">
        <v>92500</v>
      </c>
      <c r="X15" s="844">
        <v>104200</v>
      </c>
      <c r="Y15" s="844">
        <v>137550</v>
      </c>
    </row>
    <row r="16" spans="2:25" ht="15" x14ac:dyDescent="0.25">
      <c r="B16" s="748"/>
      <c r="C16" s="749"/>
      <c r="E16" s="697" t="s">
        <v>222</v>
      </c>
      <c r="F16" s="696">
        <v>36750</v>
      </c>
      <c r="G16" s="696">
        <v>48550</v>
      </c>
      <c r="H16" s="696">
        <v>58800</v>
      </c>
      <c r="I16" s="696">
        <v>77600</v>
      </c>
      <c r="J16" s="814">
        <v>41100</v>
      </c>
      <c r="K16" s="696">
        <v>54300</v>
      </c>
      <c r="L16" s="696">
        <v>65750</v>
      </c>
      <c r="M16" s="696">
        <v>86800</v>
      </c>
      <c r="N16" s="814">
        <v>43500</v>
      </c>
      <c r="O16" s="696">
        <v>57450</v>
      </c>
      <c r="P16" s="696">
        <v>69600</v>
      </c>
      <c r="Q16" s="696">
        <v>91850</v>
      </c>
      <c r="R16" s="814">
        <v>47100</v>
      </c>
      <c r="S16" s="696">
        <v>62200</v>
      </c>
      <c r="T16" s="696">
        <v>75350</v>
      </c>
      <c r="U16" s="696">
        <v>99500</v>
      </c>
      <c r="V16" s="843">
        <v>51400</v>
      </c>
      <c r="W16" s="844">
        <v>67850</v>
      </c>
      <c r="X16" s="844">
        <v>82250</v>
      </c>
      <c r="Y16" s="844">
        <v>108600</v>
      </c>
    </row>
    <row r="17" spans="2:25" ht="15" x14ac:dyDescent="0.25">
      <c r="B17" s="748"/>
      <c r="C17" s="750"/>
      <c r="E17" s="697" t="s">
        <v>223</v>
      </c>
      <c r="F17" s="696">
        <v>38200</v>
      </c>
      <c r="G17" s="696">
        <v>50450</v>
      </c>
      <c r="H17" s="696">
        <v>61100</v>
      </c>
      <c r="I17" s="696">
        <v>80650</v>
      </c>
      <c r="J17" s="814">
        <v>42700</v>
      </c>
      <c r="K17" s="696">
        <v>56400</v>
      </c>
      <c r="L17" s="696">
        <v>68300</v>
      </c>
      <c r="M17" s="696">
        <v>90150</v>
      </c>
      <c r="N17" s="814">
        <v>45200</v>
      </c>
      <c r="O17" s="696">
        <v>59700</v>
      </c>
      <c r="P17" s="696">
        <v>72300</v>
      </c>
      <c r="Q17" s="696">
        <v>95450</v>
      </c>
      <c r="R17" s="814">
        <v>47100</v>
      </c>
      <c r="S17" s="696">
        <v>62200</v>
      </c>
      <c r="T17" s="696">
        <v>75350</v>
      </c>
      <c r="U17" s="696">
        <v>99500</v>
      </c>
      <c r="V17" s="843">
        <v>51000</v>
      </c>
      <c r="W17" s="844">
        <v>67350</v>
      </c>
      <c r="X17" s="844">
        <v>81600</v>
      </c>
      <c r="Y17" s="844">
        <v>107750</v>
      </c>
    </row>
    <row r="18" spans="2:25" ht="15" x14ac:dyDescent="0.25">
      <c r="B18" s="748"/>
      <c r="C18" s="750"/>
      <c r="E18" s="697" t="s">
        <v>224</v>
      </c>
      <c r="F18" s="696">
        <v>52400</v>
      </c>
      <c r="G18" s="696">
        <v>69200</v>
      </c>
      <c r="H18" s="696">
        <v>79900</v>
      </c>
      <c r="I18" s="696">
        <v>105450</v>
      </c>
      <c r="J18" s="814">
        <v>58600</v>
      </c>
      <c r="K18" s="696">
        <v>77400</v>
      </c>
      <c r="L18" s="696">
        <v>90000</v>
      </c>
      <c r="M18" s="696">
        <v>118800</v>
      </c>
      <c r="N18" s="814">
        <v>62050</v>
      </c>
      <c r="O18" s="696">
        <v>81950</v>
      </c>
      <c r="P18" s="696">
        <v>96200</v>
      </c>
      <c r="Q18" s="696">
        <v>127000</v>
      </c>
      <c r="R18" s="814">
        <v>65200</v>
      </c>
      <c r="S18" s="696">
        <v>86100</v>
      </c>
      <c r="T18" s="696">
        <v>102650</v>
      </c>
      <c r="U18" s="696">
        <v>135500</v>
      </c>
      <c r="V18" s="843">
        <v>70050</v>
      </c>
      <c r="W18" s="844">
        <v>92500</v>
      </c>
      <c r="X18" s="844">
        <v>104200</v>
      </c>
      <c r="Y18" s="844">
        <v>137550</v>
      </c>
    </row>
    <row r="19" spans="2:25" ht="15" x14ac:dyDescent="0.25">
      <c r="B19" s="748"/>
      <c r="C19" s="749"/>
      <c r="E19" s="697" t="s">
        <v>225</v>
      </c>
      <c r="F19" s="696">
        <v>36750</v>
      </c>
      <c r="G19" s="696">
        <v>48550</v>
      </c>
      <c r="H19" s="696">
        <v>58800</v>
      </c>
      <c r="I19" s="696">
        <v>77600</v>
      </c>
      <c r="J19" s="814">
        <v>41100</v>
      </c>
      <c r="K19" s="696">
        <v>54300</v>
      </c>
      <c r="L19" s="696">
        <v>65750</v>
      </c>
      <c r="M19" s="696">
        <v>86800</v>
      </c>
      <c r="N19" s="814">
        <v>43500</v>
      </c>
      <c r="O19" s="696">
        <v>57450</v>
      </c>
      <c r="P19" s="696">
        <v>69600</v>
      </c>
      <c r="Q19" s="696">
        <v>91850</v>
      </c>
      <c r="R19" s="814">
        <v>47100</v>
      </c>
      <c r="S19" s="696">
        <v>62200</v>
      </c>
      <c r="T19" s="696">
        <v>75350</v>
      </c>
      <c r="U19" s="696">
        <v>99500</v>
      </c>
      <c r="V19" s="843">
        <v>51000</v>
      </c>
      <c r="W19" s="844">
        <v>67350</v>
      </c>
      <c r="X19" s="844">
        <v>81600</v>
      </c>
      <c r="Y19" s="844">
        <v>107750</v>
      </c>
    </row>
    <row r="20" spans="2:25" ht="15" x14ac:dyDescent="0.25">
      <c r="B20" s="748"/>
      <c r="C20" s="749"/>
      <c r="E20" s="697" t="s">
        <v>226</v>
      </c>
      <c r="F20" s="696">
        <v>36750</v>
      </c>
      <c r="G20" s="696">
        <v>48550</v>
      </c>
      <c r="H20" s="696">
        <v>58800</v>
      </c>
      <c r="I20" s="696">
        <v>77600</v>
      </c>
      <c r="J20" s="814">
        <v>41100</v>
      </c>
      <c r="K20" s="696">
        <v>54300</v>
      </c>
      <c r="L20" s="696">
        <v>65750</v>
      </c>
      <c r="M20" s="696">
        <v>86800</v>
      </c>
      <c r="N20" s="814">
        <v>43500</v>
      </c>
      <c r="O20" s="696">
        <v>57450</v>
      </c>
      <c r="P20" s="696">
        <v>69600</v>
      </c>
      <c r="Q20" s="696">
        <v>91850</v>
      </c>
      <c r="R20" s="814">
        <v>47100</v>
      </c>
      <c r="S20" s="696">
        <v>62200</v>
      </c>
      <c r="T20" s="696">
        <v>75350</v>
      </c>
      <c r="U20" s="696">
        <v>99500</v>
      </c>
      <c r="V20" s="843">
        <v>51000</v>
      </c>
      <c r="W20" s="844">
        <v>67350</v>
      </c>
      <c r="X20" s="844">
        <v>81600</v>
      </c>
      <c r="Y20" s="844">
        <v>107750</v>
      </c>
    </row>
    <row r="21" spans="2:25" ht="15" x14ac:dyDescent="0.25">
      <c r="B21" s="748"/>
      <c r="C21" s="750"/>
      <c r="E21" s="697" t="s">
        <v>227</v>
      </c>
      <c r="F21" s="696">
        <v>36750</v>
      </c>
      <c r="G21" s="696">
        <v>48550</v>
      </c>
      <c r="H21" s="696">
        <v>58800</v>
      </c>
      <c r="I21" s="696">
        <v>77600</v>
      </c>
      <c r="J21" s="814">
        <v>41100</v>
      </c>
      <c r="K21" s="696">
        <v>54300</v>
      </c>
      <c r="L21" s="696">
        <v>65750</v>
      </c>
      <c r="M21" s="696">
        <v>86800</v>
      </c>
      <c r="N21" s="814">
        <v>43500</v>
      </c>
      <c r="O21" s="696">
        <v>57450</v>
      </c>
      <c r="P21" s="696">
        <v>69600</v>
      </c>
      <c r="Q21" s="696">
        <v>91850</v>
      </c>
      <c r="R21" s="814">
        <v>47100</v>
      </c>
      <c r="S21" s="696">
        <v>62200</v>
      </c>
      <c r="T21" s="696">
        <v>75350</v>
      </c>
      <c r="U21" s="696">
        <v>99500</v>
      </c>
      <c r="V21" s="843">
        <v>51000</v>
      </c>
      <c r="W21" s="844">
        <v>67350</v>
      </c>
      <c r="X21" s="844">
        <v>81600</v>
      </c>
      <c r="Y21" s="844">
        <v>107750</v>
      </c>
    </row>
    <row r="22" spans="2:25" ht="15" x14ac:dyDescent="0.25">
      <c r="B22" s="748"/>
      <c r="C22" s="750"/>
      <c r="E22" s="697" t="s">
        <v>228</v>
      </c>
      <c r="F22" s="696">
        <v>36750</v>
      </c>
      <c r="G22" s="696">
        <v>48550</v>
      </c>
      <c r="H22" s="696">
        <v>58800</v>
      </c>
      <c r="I22" s="696">
        <v>77600</v>
      </c>
      <c r="J22" s="814">
        <v>41100</v>
      </c>
      <c r="K22" s="696">
        <v>54300</v>
      </c>
      <c r="L22" s="696">
        <v>65750</v>
      </c>
      <c r="M22" s="696">
        <v>86800</v>
      </c>
      <c r="N22" s="814">
        <v>43500</v>
      </c>
      <c r="O22" s="696">
        <v>57450</v>
      </c>
      <c r="P22" s="696">
        <v>69600</v>
      </c>
      <c r="Q22" s="696">
        <v>91850</v>
      </c>
      <c r="R22" s="814">
        <v>47100</v>
      </c>
      <c r="S22" s="696">
        <v>62200</v>
      </c>
      <c r="T22" s="696">
        <v>75350</v>
      </c>
      <c r="U22" s="696">
        <v>99500</v>
      </c>
      <c r="V22" s="843">
        <v>51000</v>
      </c>
      <c r="W22" s="844">
        <v>67350</v>
      </c>
      <c r="X22" s="844">
        <v>81600</v>
      </c>
      <c r="Y22" s="844">
        <v>107750</v>
      </c>
    </row>
    <row r="23" spans="2:25" ht="15" x14ac:dyDescent="0.25">
      <c r="B23" s="748"/>
      <c r="C23" s="749"/>
      <c r="E23" s="697" t="s">
        <v>229</v>
      </c>
      <c r="F23" s="696">
        <v>36750</v>
      </c>
      <c r="G23" s="696">
        <v>48550</v>
      </c>
      <c r="H23" s="696">
        <v>58800</v>
      </c>
      <c r="I23" s="696">
        <v>77600</v>
      </c>
      <c r="J23" s="814">
        <v>41100</v>
      </c>
      <c r="K23" s="696">
        <v>54300</v>
      </c>
      <c r="L23" s="696">
        <v>65750</v>
      </c>
      <c r="M23" s="696">
        <v>86800</v>
      </c>
      <c r="N23" s="814">
        <v>43500</v>
      </c>
      <c r="O23" s="696">
        <v>57450</v>
      </c>
      <c r="P23" s="696">
        <v>69600</v>
      </c>
      <c r="Q23" s="696">
        <v>91850</v>
      </c>
      <c r="R23" s="814">
        <v>47100</v>
      </c>
      <c r="S23" s="696">
        <v>62200</v>
      </c>
      <c r="T23" s="696">
        <v>75350</v>
      </c>
      <c r="U23" s="696">
        <v>99500</v>
      </c>
      <c r="V23" s="843">
        <v>51000</v>
      </c>
      <c r="W23" s="844">
        <v>67350</v>
      </c>
      <c r="X23" s="844">
        <v>81600</v>
      </c>
      <c r="Y23" s="844">
        <v>107750</v>
      </c>
    </row>
    <row r="24" spans="2:25" ht="15" x14ac:dyDescent="0.25">
      <c r="B24" s="748"/>
      <c r="C24" s="749"/>
      <c r="E24" s="697" t="s">
        <v>230</v>
      </c>
      <c r="F24" s="696">
        <v>52400</v>
      </c>
      <c r="G24" s="696">
        <v>69200</v>
      </c>
      <c r="H24" s="696">
        <v>79900</v>
      </c>
      <c r="I24" s="696">
        <v>105450</v>
      </c>
      <c r="J24" s="814">
        <v>58600</v>
      </c>
      <c r="K24" s="696">
        <v>77400</v>
      </c>
      <c r="L24" s="696">
        <v>90000</v>
      </c>
      <c r="M24" s="696">
        <v>118800</v>
      </c>
      <c r="N24" s="814">
        <v>62050</v>
      </c>
      <c r="O24" s="696">
        <v>81950</v>
      </c>
      <c r="P24" s="696">
        <v>96200</v>
      </c>
      <c r="Q24" s="696">
        <v>127000</v>
      </c>
      <c r="R24" s="814">
        <v>65200</v>
      </c>
      <c r="S24" s="696">
        <v>86100</v>
      </c>
      <c r="T24" s="696">
        <v>102650</v>
      </c>
      <c r="U24" s="696">
        <v>135500</v>
      </c>
      <c r="V24" s="843">
        <v>70050</v>
      </c>
      <c r="W24" s="844">
        <v>92500</v>
      </c>
      <c r="X24" s="844">
        <v>104200</v>
      </c>
      <c r="Y24" s="844">
        <v>137550</v>
      </c>
    </row>
    <row r="25" spans="2:25" ht="15" x14ac:dyDescent="0.25">
      <c r="B25" s="748"/>
      <c r="C25" s="750"/>
      <c r="E25" s="697" t="s">
        <v>231</v>
      </c>
      <c r="F25" s="696">
        <v>36750</v>
      </c>
      <c r="G25" s="696">
        <v>48550</v>
      </c>
      <c r="H25" s="696">
        <v>58800</v>
      </c>
      <c r="I25" s="696">
        <v>77600</v>
      </c>
      <c r="J25" s="814">
        <v>41100</v>
      </c>
      <c r="K25" s="696">
        <v>54300</v>
      </c>
      <c r="L25" s="696">
        <v>65750</v>
      </c>
      <c r="M25" s="696">
        <v>86800</v>
      </c>
      <c r="N25" s="814">
        <v>43500</v>
      </c>
      <c r="O25" s="696">
        <v>57450</v>
      </c>
      <c r="P25" s="696">
        <v>69600</v>
      </c>
      <c r="Q25" s="696">
        <v>91850</v>
      </c>
      <c r="R25" s="814">
        <v>47850</v>
      </c>
      <c r="S25" s="696">
        <v>63150</v>
      </c>
      <c r="T25" s="696">
        <v>76550</v>
      </c>
      <c r="U25" s="696">
        <v>101050</v>
      </c>
      <c r="V25" s="843">
        <v>51350</v>
      </c>
      <c r="W25" s="844">
        <v>67800</v>
      </c>
      <c r="X25" s="844">
        <v>82150</v>
      </c>
      <c r="Y25" s="844">
        <v>108450</v>
      </c>
    </row>
    <row r="26" spans="2:25" ht="15" x14ac:dyDescent="0.25">
      <c r="B26" s="748"/>
      <c r="C26" s="750"/>
      <c r="E26" s="697" t="s">
        <v>232</v>
      </c>
      <c r="F26" s="696">
        <v>52400</v>
      </c>
      <c r="G26" s="696">
        <v>69200</v>
      </c>
      <c r="H26" s="696">
        <v>79900</v>
      </c>
      <c r="I26" s="696">
        <v>105450</v>
      </c>
      <c r="J26" s="814">
        <v>58600</v>
      </c>
      <c r="K26" s="696">
        <v>77400</v>
      </c>
      <c r="L26" s="696">
        <v>90000</v>
      </c>
      <c r="M26" s="696">
        <v>118800</v>
      </c>
      <c r="N26" s="814">
        <v>62050</v>
      </c>
      <c r="O26" s="696">
        <v>81950</v>
      </c>
      <c r="P26" s="696">
        <v>96200</v>
      </c>
      <c r="Q26" s="696">
        <v>127000</v>
      </c>
      <c r="R26" s="814">
        <v>65200</v>
      </c>
      <c r="S26" s="696">
        <v>86100</v>
      </c>
      <c r="T26" s="696">
        <v>102650</v>
      </c>
      <c r="U26" s="696">
        <v>135500</v>
      </c>
      <c r="V26" s="843">
        <v>70050</v>
      </c>
      <c r="W26" s="844">
        <v>92500</v>
      </c>
      <c r="X26" s="844">
        <v>104200</v>
      </c>
      <c r="Y26" s="844">
        <v>137550</v>
      </c>
    </row>
    <row r="27" spans="2:25" ht="15" x14ac:dyDescent="0.25">
      <c r="B27" s="748"/>
      <c r="C27" s="749"/>
      <c r="E27" s="697" t="s">
        <v>233</v>
      </c>
      <c r="F27" s="696">
        <v>50000</v>
      </c>
      <c r="G27" s="696">
        <v>66000</v>
      </c>
      <c r="H27" s="696">
        <v>80000</v>
      </c>
      <c r="I27" s="696">
        <v>105600</v>
      </c>
      <c r="J27" s="814">
        <v>55900</v>
      </c>
      <c r="K27" s="696">
        <v>73800</v>
      </c>
      <c r="L27" s="696">
        <v>89450</v>
      </c>
      <c r="M27" s="696">
        <v>118050</v>
      </c>
      <c r="N27" s="814">
        <v>59150</v>
      </c>
      <c r="O27" s="696">
        <v>78100</v>
      </c>
      <c r="P27" s="696">
        <v>94650</v>
      </c>
      <c r="Q27" s="696">
        <v>124950</v>
      </c>
      <c r="R27" s="814">
        <v>65050</v>
      </c>
      <c r="S27" s="696">
        <v>85900</v>
      </c>
      <c r="T27" s="696">
        <v>104100</v>
      </c>
      <c r="U27" s="696">
        <v>137400</v>
      </c>
      <c r="V27" s="843">
        <v>66600</v>
      </c>
      <c r="W27" s="844">
        <v>87950</v>
      </c>
      <c r="X27" s="844">
        <v>104200</v>
      </c>
      <c r="Y27" s="844">
        <v>137550</v>
      </c>
    </row>
    <row r="28" spans="2:25" ht="15" x14ac:dyDescent="0.25">
      <c r="B28" s="748"/>
      <c r="C28" s="749"/>
      <c r="E28" s="697" t="s">
        <v>234</v>
      </c>
      <c r="F28" s="696">
        <v>52400</v>
      </c>
      <c r="G28" s="696">
        <v>69200</v>
      </c>
      <c r="H28" s="696">
        <v>79900</v>
      </c>
      <c r="I28" s="696">
        <v>105450</v>
      </c>
      <c r="J28" s="814">
        <v>58600</v>
      </c>
      <c r="K28" s="696">
        <v>77400</v>
      </c>
      <c r="L28" s="696">
        <v>90000</v>
      </c>
      <c r="M28" s="696">
        <v>118800</v>
      </c>
      <c r="N28" s="814">
        <v>62050</v>
      </c>
      <c r="O28" s="696">
        <v>81950</v>
      </c>
      <c r="P28" s="696">
        <v>96200</v>
      </c>
      <c r="Q28" s="696">
        <v>127000</v>
      </c>
      <c r="R28" s="814">
        <v>65200</v>
      </c>
      <c r="S28" s="696">
        <v>86100</v>
      </c>
      <c r="T28" s="696">
        <v>102650</v>
      </c>
      <c r="U28" s="696">
        <v>135500</v>
      </c>
      <c r="V28" s="843">
        <v>70050</v>
      </c>
      <c r="W28" s="844">
        <v>92500</v>
      </c>
      <c r="X28" s="844">
        <v>104200</v>
      </c>
      <c r="Y28" s="844">
        <v>137550</v>
      </c>
    </row>
    <row r="29" spans="2:25" ht="15" x14ac:dyDescent="0.25">
      <c r="B29" s="748"/>
      <c r="C29" s="750"/>
      <c r="E29" s="697" t="s">
        <v>235</v>
      </c>
      <c r="F29" s="696">
        <v>41200</v>
      </c>
      <c r="G29" s="696">
        <v>54400</v>
      </c>
      <c r="H29" s="696">
        <v>65900</v>
      </c>
      <c r="I29" s="696">
        <v>87000</v>
      </c>
      <c r="J29" s="814">
        <v>46050</v>
      </c>
      <c r="K29" s="696">
        <v>60800</v>
      </c>
      <c r="L29" s="696">
        <v>73700</v>
      </c>
      <c r="M29" s="696">
        <v>97300</v>
      </c>
      <c r="N29" s="814">
        <v>48750</v>
      </c>
      <c r="O29" s="696">
        <v>64350</v>
      </c>
      <c r="P29" s="696">
        <v>78000</v>
      </c>
      <c r="Q29" s="696">
        <v>102950</v>
      </c>
      <c r="R29" s="814">
        <v>52000</v>
      </c>
      <c r="S29" s="696">
        <v>68650</v>
      </c>
      <c r="T29" s="696">
        <v>83200</v>
      </c>
      <c r="U29" s="696">
        <v>109850</v>
      </c>
      <c r="V29" s="843">
        <v>56250</v>
      </c>
      <c r="W29" s="844">
        <v>74250</v>
      </c>
      <c r="X29" s="844">
        <v>90000</v>
      </c>
      <c r="Y29" s="844">
        <v>118800</v>
      </c>
    </row>
    <row r="30" spans="2:25" ht="15" x14ac:dyDescent="0.25">
      <c r="B30" s="748"/>
      <c r="C30" s="750"/>
      <c r="E30" s="697" t="s">
        <v>236</v>
      </c>
      <c r="F30" s="696">
        <v>36750</v>
      </c>
      <c r="G30" s="696">
        <v>48550</v>
      </c>
      <c r="H30" s="696">
        <v>58800</v>
      </c>
      <c r="I30" s="696">
        <v>77600</v>
      </c>
      <c r="J30" s="814">
        <v>41100</v>
      </c>
      <c r="K30" s="696">
        <v>54300</v>
      </c>
      <c r="L30" s="696">
        <v>65750</v>
      </c>
      <c r="M30" s="696">
        <v>86800</v>
      </c>
      <c r="N30" s="814">
        <v>43500</v>
      </c>
      <c r="O30" s="696">
        <v>57450</v>
      </c>
      <c r="P30" s="696">
        <v>69600</v>
      </c>
      <c r="Q30" s="696">
        <v>91850</v>
      </c>
      <c r="R30" s="814">
        <v>47100</v>
      </c>
      <c r="S30" s="696">
        <v>62200</v>
      </c>
      <c r="T30" s="696">
        <v>75350</v>
      </c>
      <c r="U30" s="696">
        <v>99500</v>
      </c>
      <c r="V30" s="843">
        <v>51000</v>
      </c>
      <c r="W30" s="844">
        <v>67350</v>
      </c>
      <c r="X30" s="844">
        <v>81600</v>
      </c>
      <c r="Y30" s="844">
        <v>107750</v>
      </c>
    </row>
    <row r="31" spans="2:25" ht="15" x14ac:dyDescent="0.25">
      <c r="E31" s="697" t="s">
        <v>237</v>
      </c>
      <c r="F31" s="696">
        <v>44150</v>
      </c>
      <c r="G31" s="696">
        <v>58300</v>
      </c>
      <c r="H31" s="696">
        <v>70650</v>
      </c>
      <c r="I31" s="696">
        <v>93250</v>
      </c>
      <c r="J31" s="814">
        <v>47100</v>
      </c>
      <c r="K31" s="696">
        <v>62200</v>
      </c>
      <c r="L31" s="696">
        <v>75350</v>
      </c>
      <c r="M31" s="696">
        <v>99450</v>
      </c>
      <c r="N31" s="814">
        <v>49600</v>
      </c>
      <c r="O31" s="696">
        <v>65500</v>
      </c>
      <c r="P31" s="696">
        <v>79350</v>
      </c>
      <c r="Q31" s="696">
        <v>104750</v>
      </c>
      <c r="R31" s="814">
        <v>51200</v>
      </c>
      <c r="S31" s="696">
        <v>67600</v>
      </c>
      <c r="T31" s="696">
        <v>81900</v>
      </c>
      <c r="U31" s="696">
        <v>108150</v>
      </c>
      <c r="V31" s="843">
        <v>52800</v>
      </c>
      <c r="W31" s="844">
        <v>69700</v>
      </c>
      <c r="X31" s="844">
        <v>84500</v>
      </c>
      <c r="Y31" s="844">
        <v>111550</v>
      </c>
    </row>
    <row r="32" spans="2:25" ht="15" x14ac:dyDescent="0.25">
      <c r="E32" s="697" t="s">
        <v>238</v>
      </c>
      <c r="F32" s="696">
        <v>52400</v>
      </c>
      <c r="G32" s="696">
        <v>69200</v>
      </c>
      <c r="H32" s="696">
        <v>79900</v>
      </c>
      <c r="I32" s="696">
        <v>105450</v>
      </c>
      <c r="J32" s="814">
        <v>58600</v>
      </c>
      <c r="K32" s="696">
        <v>77400</v>
      </c>
      <c r="L32" s="696">
        <v>90000</v>
      </c>
      <c r="M32" s="696">
        <v>118800</v>
      </c>
      <c r="N32" s="814">
        <v>62050</v>
      </c>
      <c r="O32" s="696">
        <v>81950</v>
      </c>
      <c r="P32" s="696">
        <v>96200</v>
      </c>
      <c r="Q32" s="696">
        <v>127000</v>
      </c>
      <c r="R32" s="814">
        <v>65200</v>
      </c>
      <c r="S32" s="696">
        <v>86100</v>
      </c>
      <c r="T32" s="696">
        <v>102650</v>
      </c>
      <c r="U32" s="696">
        <v>135500</v>
      </c>
      <c r="V32" s="843">
        <v>70050</v>
      </c>
      <c r="W32" s="844">
        <v>92500</v>
      </c>
      <c r="X32" s="844">
        <v>104200</v>
      </c>
      <c r="Y32" s="844">
        <v>137550</v>
      </c>
    </row>
    <row r="33" spans="5:25" ht="15" x14ac:dyDescent="0.25">
      <c r="E33" s="697" t="s">
        <v>239</v>
      </c>
      <c r="F33" s="696">
        <v>39400</v>
      </c>
      <c r="G33" s="696">
        <v>52050</v>
      </c>
      <c r="H33" s="696">
        <v>63050</v>
      </c>
      <c r="I33" s="696">
        <v>83250</v>
      </c>
      <c r="J33" s="814">
        <v>44050</v>
      </c>
      <c r="K33" s="696">
        <v>58150</v>
      </c>
      <c r="L33" s="696">
        <v>70500</v>
      </c>
      <c r="M33" s="696">
        <v>93050</v>
      </c>
      <c r="N33" s="814">
        <v>46650</v>
      </c>
      <c r="O33" s="696">
        <v>61600</v>
      </c>
      <c r="P33" s="696">
        <v>74650</v>
      </c>
      <c r="Q33" s="696">
        <v>98550</v>
      </c>
      <c r="R33" s="814">
        <v>51300</v>
      </c>
      <c r="S33" s="696">
        <v>67750</v>
      </c>
      <c r="T33" s="696">
        <v>82100</v>
      </c>
      <c r="U33" s="696">
        <v>108400</v>
      </c>
      <c r="V33" s="843">
        <v>56000</v>
      </c>
      <c r="W33" s="844">
        <v>73950</v>
      </c>
      <c r="X33" s="844">
        <v>89600</v>
      </c>
      <c r="Y33" s="844">
        <v>118300</v>
      </c>
    </row>
    <row r="34" spans="5:25" ht="15" x14ac:dyDescent="0.25">
      <c r="E34" s="697" t="s">
        <v>240</v>
      </c>
      <c r="F34" s="696">
        <v>39550</v>
      </c>
      <c r="G34" s="696">
        <v>52250</v>
      </c>
      <c r="H34" s="696">
        <v>63300</v>
      </c>
      <c r="I34" s="696">
        <v>83550</v>
      </c>
      <c r="J34" s="814">
        <v>44250</v>
      </c>
      <c r="K34" s="696">
        <v>58450</v>
      </c>
      <c r="L34" s="696">
        <v>70800</v>
      </c>
      <c r="M34" s="696">
        <v>93450</v>
      </c>
      <c r="N34" s="814">
        <v>46850</v>
      </c>
      <c r="O34" s="696">
        <v>61850</v>
      </c>
      <c r="P34" s="696">
        <v>74950</v>
      </c>
      <c r="Q34" s="696">
        <v>98950</v>
      </c>
      <c r="R34" s="814">
        <v>51500</v>
      </c>
      <c r="S34" s="696">
        <v>68000</v>
      </c>
      <c r="T34" s="696">
        <v>82400</v>
      </c>
      <c r="U34" s="696">
        <v>108800</v>
      </c>
      <c r="V34" s="843">
        <v>56250</v>
      </c>
      <c r="W34" s="844">
        <v>74250</v>
      </c>
      <c r="X34" s="844">
        <v>90000</v>
      </c>
      <c r="Y34" s="844">
        <v>118800</v>
      </c>
    </row>
    <row r="35" spans="5:25" ht="15" x14ac:dyDescent="0.25">
      <c r="E35" s="697" t="s">
        <v>241</v>
      </c>
      <c r="F35" s="696">
        <v>39000</v>
      </c>
      <c r="G35" s="696">
        <v>51500</v>
      </c>
      <c r="H35" s="696">
        <v>62400</v>
      </c>
      <c r="I35" s="696">
        <v>82350</v>
      </c>
      <c r="J35" s="814">
        <v>41100</v>
      </c>
      <c r="K35" s="696">
        <v>54300</v>
      </c>
      <c r="L35" s="696">
        <v>65750</v>
      </c>
      <c r="M35" s="696">
        <v>86800</v>
      </c>
      <c r="N35" s="814">
        <v>43500</v>
      </c>
      <c r="O35" s="696">
        <v>57450</v>
      </c>
      <c r="P35" s="696">
        <v>69600</v>
      </c>
      <c r="Q35" s="696">
        <v>91850</v>
      </c>
      <c r="R35" s="814">
        <v>47100</v>
      </c>
      <c r="S35" s="696">
        <v>62200</v>
      </c>
      <c r="T35" s="696">
        <v>75350</v>
      </c>
      <c r="U35" s="696">
        <v>99500</v>
      </c>
      <c r="V35" s="843">
        <v>51000</v>
      </c>
      <c r="W35" s="844">
        <v>67350</v>
      </c>
      <c r="X35" s="844">
        <v>81600</v>
      </c>
      <c r="Y35" s="844">
        <v>107750</v>
      </c>
    </row>
    <row r="36" spans="5:25" ht="15" x14ac:dyDescent="0.25">
      <c r="E36" s="697" t="s">
        <v>242</v>
      </c>
      <c r="F36" s="696">
        <v>36750</v>
      </c>
      <c r="G36" s="696">
        <v>48550</v>
      </c>
      <c r="H36" s="696">
        <v>58800</v>
      </c>
      <c r="I36" s="696">
        <v>77600</v>
      </c>
      <c r="J36" s="814">
        <v>41100</v>
      </c>
      <c r="K36" s="696">
        <v>54300</v>
      </c>
      <c r="L36" s="696">
        <v>65750</v>
      </c>
      <c r="M36" s="696">
        <v>86800</v>
      </c>
      <c r="N36" s="814">
        <v>43500</v>
      </c>
      <c r="O36" s="696">
        <v>57450</v>
      </c>
      <c r="P36" s="696">
        <v>69600</v>
      </c>
      <c r="Q36" s="696">
        <v>91850</v>
      </c>
      <c r="R36" s="814">
        <v>47100</v>
      </c>
      <c r="S36" s="696">
        <v>62200</v>
      </c>
      <c r="T36" s="696">
        <v>75350</v>
      </c>
      <c r="U36" s="696">
        <v>99500</v>
      </c>
      <c r="V36" s="843">
        <v>51000</v>
      </c>
      <c r="W36" s="844">
        <v>67350</v>
      </c>
      <c r="X36" s="844">
        <v>81600</v>
      </c>
      <c r="Y36" s="844">
        <v>107750</v>
      </c>
    </row>
    <row r="37" spans="5:25" ht="15" x14ac:dyDescent="0.25">
      <c r="E37" s="697" t="s">
        <v>243</v>
      </c>
      <c r="F37" s="696">
        <v>36750</v>
      </c>
      <c r="G37" s="696">
        <v>48550</v>
      </c>
      <c r="H37" s="696">
        <v>58800</v>
      </c>
      <c r="I37" s="696">
        <v>77600</v>
      </c>
      <c r="J37" s="814">
        <v>41100</v>
      </c>
      <c r="K37" s="696">
        <v>54300</v>
      </c>
      <c r="L37" s="696">
        <v>65750</v>
      </c>
      <c r="M37" s="696">
        <v>86800</v>
      </c>
      <c r="N37" s="814">
        <v>43500</v>
      </c>
      <c r="O37" s="696">
        <v>57450</v>
      </c>
      <c r="P37" s="696">
        <v>69600</v>
      </c>
      <c r="Q37" s="696">
        <v>91850</v>
      </c>
      <c r="R37" s="814">
        <v>47100</v>
      </c>
      <c r="S37" s="696">
        <v>62200</v>
      </c>
      <c r="T37" s="696">
        <v>75350</v>
      </c>
      <c r="U37" s="696">
        <v>99500</v>
      </c>
      <c r="V37" s="843">
        <v>51000</v>
      </c>
      <c r="W37" s="844">
        <v>67350</v>
      </c>
      <c r="X37" s="844">
        <v>81600</v>
      </c>
      <c r="Y37" s="844">
        <v>107750</v>
      </c>
    </row>
    <row r="38" spans="5:25" ht="15" x14ac:dyDescent="0.25">
      <c r="E38" s="697" t="s">
        <v>244</v>
      </c>
      <c r="F38" s="696">
        <v>52400</v>
      </c>
      <c r="G38" s="696">
        <v>69200</v>
      </c>
      <c r="H38" s="696">
        <v>79900</v>
      </c>
      <c r="I38" s="696">
        <v>105450</v>
      </c>
      <c r="J38" s="814">
        <v>58600</v>
      </c>
      <c r="K38" s="696">
        <v>77400</v>
      </c>
      <c r="L38" s="696">
        <v>90000</v>
      </c>
      <c r="M38" s="696">
        <v>118800</v>
      </c>
      <c r="N38" s="814">
        <v>62050</v>
      </c>
      <c r="O38" s="696">
        <v>81950</v>
      </c>
      <c r="P38" s="696">
        <v>96200</v>
      </c>
      <c r="Q38" s="696">
        <v>127000</v>
      </c>
      <c r="R38" s="814">
        <v>65200</v>
      </c>
      <c r="S38" s="696">
        <v>86100</v>
      </c>
      <c r="T38" s="696">
        <v>102650</v>
      </c>
      <c r="U38" s="696">
        <v>135500</v>
      </c>
      <c r="V38" s="843">
        <v>70050</v>
      </c>
      <c r="W38" s="844">
        <v>92500</v>
      </c>
      <c r="X38" s="844">
        <v>104200</v>
      </c>
      <c r="Y38" s="844">
        <v>137550</v>
      </c>
    </row>
    <row r="39" spans="5:25" ht="15" x14ac:dyDescent="0.25">
      <c r="E39" s="697" t="s">
        <v>245</v>
      </c>
      <c r="F39" s="696">
        <v>36750</v>
      </c>
      <c r="G39" s="696">
        <v>48550</v>
      </c>
      <c r="H39" s="696">
        <v>58800</v>
      </c>
      <c r="I39" s="696">
        <v>77600</v>
      </c>
      <c r="J39" s="814">
        <v>41100</v>
      </c>
      <c r="K39" s="696">
        <v>54300</v>
      </c>
      <c r="L39" s="696">
        <v>65750</v>
      </c>
      <c r="M39" s="696">
        <v>86800</v>
      </c>
      <c r="N39" s="814">
        <v>43500</v>
      </c>
      <c r="O39" s="696">
        <v>57450</v>
      </c>
      <c r="P39" s="696">
        <v>69600</v>
      </c>
      <c r="Q39" s="696">
        <v>91850</v>
      </c>
      <c r="R39" s="814">
        <v>47100</v>
      </c>
      <c r="S39" s="696">
        <v>62200</v>
      </c>
      <c r="T39" s="696">
        <v>75350</v>
      </c>
      <c r="U39" s="696">
        <v>99500</v>
      </c>
      <c r="V39" s="843">
        <v>51000</v>
      </c>
      <c r="W39" s="844">
        <v>67350</v>
      </c>
      <c r="X39" s="844">
        <v>81600</v>
      </c>
      <c r="Y39" s="844">
        <v>107750</v>
      </c>
    </row>
    <row r="40" spans="5:25" ht="15" x14ac:dyDescent="0.25">
      <c r="E40" s="697" t="s">
        <v>246</v>
      </c>
      <c r="F40" s="696">
        <v>36750</v>
      </c>
      <c r="G40" s="696">
        <v>48550</v>
      </c>
      <c r="H40" s="696">
        <v>58800</v>
      </c>
      <c r="I40" s="696">
        <v>77600</v>
      </c>
      <c r="J40" s="814">
        <v>41100</v>
      </c>
      <c r="K40" s="696">
        <v>54300</v>
      </c>
      <c r="L40" s="696">
        <v>65750</v>
      </c>
      <c r="M40" s="696">
        <v>86800</v>
      </c>
      <c r="N40" s="814">
        <v>43500</v>
      </c>
      <c r="O40" s="696">
        <v>57450</v>
      </c>
      <c r="P40" s="696">
        <v>69600</v>
      </c>
      <c r="Q40" s="696">
        <v>91850</v>
      </c>
      <c r="R40" s="814">
        <v>47100</v>
      </c>
      <c r="S40" s="696">
        <v>62200</v>
      </c>
      <c r="T40" s="696">
        <v>75350</v>
      </c>
      <c r="U40" s="696">
        <v>99500</v>
      </c>
      <c r="V40" s="843">
        <v>51000</v>
      </c>
      <c r="W40" s="844">
        <v>67350</v>
      </c>
      <c r="X40" s="844">
        <v>81600</v>
      </c>
      <c r="Y40" s="844">
        <v>107750</v>
      </c>
    </row>
    <row r="41" spans="5:25" ht="15" x14ac:dyDescent="0.25">
      <c r="E41" s="697" t="s">
        <v>247</v>
      </c>
      <c r="F41" s="696">
        <v>36750</v>
      </c>
      <c r="G41" s="696">
        <v>48550</v>
      </c>
      <c r="H41" s="696">
        <v>58800</v>
      </c>
      <c r="I41" s="696">
        <v>77600</v>
      </c>
      <c r="J41" s="814">
        <v>41100</v>
      </c>
      <c r="K41" s="696">
        <v>54300</v>
      </c>
      <c r="L41" s="696">
        <v>65750</v>
      </c>
      <c r="M41" s="696">
        <v>86800</v>
      </c>
      <c r="N41" s="814">
        <v>43500</v>
      </c>
      <c r="O41" s="696">
        <v>57450</v>
      </c>
      <c r="P41" s="696">
        <v>69600</v>
      </c>
      <c r="Q41" s="696">
        <v>91850</v>
      </c>
      <c r="R41" s="814">
        <v>47850</v>
      </c>
      <c r="S41" s="696">
        <v>63150</v>
      </c>
      <c r="T41" s="696">
        <v>76550</v>
      </c>
      <c r="U41" s="696">
        <v>101050</v>
      </c>
      <c r="V41" s="843">
        <v>52250</v>
      </c>
      <c r="W41" s="844">
        <v>68950</v>
      </c>
      <c r="X41" s="844">
        <v>83600</v>
      </c>
      <c r="Y41" s="844">
        <v>110350</v>
      </c>
    </row>
    <row r="42" spans="5:25" ht="15" x14ac:dyDescent="0.25">
      <c r="E42" s="697" t="s">
        <v>248</v>
      </c>
      <c r="F42" s="696">
        <v>43850</v>
      </c>
      <c r="G42" s="696">
        <v>57900</v>
      </c>
      <c r="H42" s="696">
        <v>70150</v>
      </c>
      <c r="I42" s="696">
        <v>92600</v>
      </c>
      <c r="J42" s="814">
        <v>49050</v>
      </c>
      <c r="K42" s="696">
        <v>64750</v>
      </c>
      <c r="L42" s="696">
        <v>78500</v>
      </c>
      <c r="M42" s="696">
        <v>103600</v>
      </c>
      <c r="N42" s="814">
        <v>51950</v>
      </c>
      <c r="O42" s="696">
        <v>68600</v>
      </c>
      <c r="P42" s="696">
        <v>83100</v>
      </c>
      <c r="Q42" s="696">
        <v>109700</v>
      </c>
      <c r="R42" s="814">
        <v>55250</v>
      </c>
      <c r="S42" s="696">
        <v>72950</v>
      </c>
      <c r="T42" s="696">
        <v>88400</v>
      </c>
      <c r="U42" s="696">
        <v>116700</v>
      </c>
      <c r="V42" s="843">
        <v>58750</v>
      </c>
      <c r="W42" s="844">
        <v>77550</v>
      </c>
      <c r="X42" s="844">
        <v>94000</v>
      </c>
      <c r="Y42" s="844">
        <v>124100</v>
      </c>
    </row>
    <row r="43" spans="5:25" ht="15" x14ac:dyDescent="0.25">
      <c r="E43" s="697" t="s">
        <v>249</v>
      </c>
      <c r="F43" s="696">
        <v>47950</v>
      </c>
      <c r="G43" s="696">
        <v>63300</v>
      </c>
      <c r="H43" s="696">
        <v>76700</v>
      </c>
      <c r="I43" s="696">
        <v>101250</v>
      </c>
      <c r="J43" s="814">
        <v>53650</v>
      </c>
      <c r="K43" s="696">
        <v>70850</v>
      </c>
      <c r="L43" s="696">
        <v>85850</v>
      </c>
      <c r="M43" s="696">
        <v>113300</v>
      </c>
      <c r="N43" s="814">
        <v>56800</v>
      </c>
      <c r="O43" s="696">
        <v>75000</v>
      </c>
      <c r="P43" s="696">
        <v>90900</v>
      </c>
      <c r="Q43" s="696">
        <v>120000</v>
      </c>
      <c r="R43" s="814">
        <v>59400</v>
      </c>
      <c r="S43" s="696">
        <v>78450</v>
      </c>
      <c r="T43" s="696">
        <v>95050</v>
      </c>
      <c r="U43" s="696">
        <v>125500</v>
      </c>
      <c r="V43" s="843">
        <v>63800</v>
      </c>
      <c r="W43" s="844">
        <v>84250</v>
      </c>
      <c r="X43" s="844">
        <v>102100</v>
      </c>
      <c r="Y43" s="844">
        <v>134800</v>
      </c>
    </row>
    <row r="44" spans="5:25" ht="15" x14ac:dyDescent="0.25">
      <c r="E44" s="697" t="s">
        <v>250</v>
      </c>
      <c r="F44" s="696">
        <v>36750</v>
      </c>
      <c r="G44" s="696">
        <v>48550</v>
      </c>
      <c r="H44" s="696">
        <v>58800</v>
      </c>
      <c r="I44" s="696">
        <v>77600</v>
      </c>
      <c r="J44" s="814">
        <v>41100</v>
      </c>
      <c r="K44" s="696">
        <v>54300</v>
      </c>
      <c r="L44" s="696">
        <v>65750</v>
      </c>
      <c r="M44" s="696">
        <v>86800</v>
      </c>
      <c r="N44" s="814">
        <v>43500</v>
      </c>
      <c r="O44" s="696">
        <v>57450</v>
      </c>
      <c r="P44" s="696">
        <v>69600</v>
      </c>
      <c r="Q44" s="696">
        <v>91850</v>
      </c>
      <c r="R44" s="814">
        <v>47100</v>
      </c>
      <c r="S44" s="696">
        <v>62200</v>
      </c>
      <c r="T44" s="696">
        <v>75350</v>
      </c>
      <c r="U44" s="696">
        <v>99500</v>
      </c>
      <c r="V44" s="843">
        <v>51000</v>
      </c>
      <c r="W44" s="844">
        <v>67350</v>
      </c>
      <c r="X44" s="844">
        <v>81600</v>
      </c>
      <c r="Y44" s="844">
        <v>107750</v>
      </c>
    </row>
    <row r="45" spans="5:25" ht="15" x14ac:dyDescent="0.25">
      <c r="E45" s="697" t="s">
        <v>251</v>
      </c>
      <c r="F45" s="696">
        <v>36750</v>
      </c>
      <c r="G45" s="696">
        <v>48550</v>
      </c>
      <c r="H45" s="696">
        <v>58800</v>
      </c>
      <c r="I45" s="696">
        <v>77600</v>
      </c>
      <c r="J45" s="814">
        <v>41100</v>
      </c>
      <c r="K45" s="696">
        <v>54300</v>
      </c>
      <c r="L45" s="696">
        <v>65750</v>
      </c>
      <c r="M45" s="696">
        <v>86800</v>
      </c>
      <c r="N45" s="814">
        <v>43500</v>
      </c>
      <c r="O45" s="696">
        <v>57450</v>
      </c>
      <c r="P45" s="696">
        <v>69600</v>
      </c>
      <c r="Q45" s="696">
        <v>91850</v>
      </c>
      <c r="R45" s="814">
        <v>47500</v>
      </c>
      <c r="S45" s="696">
        <v>62700</v>
      </c>
      <c r="T45" s="696">
        <v>76000</v>
      </c>
      <c r="U45" s="696">
        <v>100350</v>
      </c>
      <c r="V45" s="843">
        <v>51000</v>
      </c>
      <c r="W45" s="844">
        <v>67350</v>
      </c>
      <c r="X45" s="844">
        <v>81600</v>
      </c>
      <c r="Y45" s="844">
        <v>107750</v>
      </c>
    </row>
    <row r="46" spans="5:25" ht="15" x14ac:dyDescent="0.25">
      <c r="E46" s="697" t="s">
        <v>252</v>
      </c>
      <c r="F46" s="696">
        <v>36750</v>
      </c>
      <c r="G46" s="696">
        <v>48550</v>
      </c>
      <c r="H46" s="696">
        <v>58800</v>
      </c>
      <c r="I46" s="696">
        <v>77600</v>
      </c>
      <c r="J46" s="814">
        <v>41100</v>
      </c>
      <c r="K46" s="696">
        <v>54300</v>
      </c>
      <c r="L46" s="696">
        <v>65750</v>
      </c>
      <c r="M46" s="696">
        <v>86800</v>
      </c>
      <c r="N46" s="814">
        <v>43500</v>
      </c>
      <c r="O46" s="696">
        <v>57450</v>
      </c>
      <c r="P46" s="696">
        <v>69600</v>
      </c>
      <c r="Q46" s="696">
        <v>91850</v>
      </c>
      <c r="R46" s="814">
        <v>47100</v>
      </c>
      <c r="S46" s="696">
        <v>62200</v>
      </c>
      <c r="T46" s="696">
        <v>75350</v>
      </c>
      <c r="U46" s="696">
        <v>99500</v>
      </c>
      <c r="V46" s="843">
        <v>51000</v>
      </c>
      <c r="W46" s="844">
        <v>67350</v>
      </c>
      <c r="X46" s="844">
        <v>81600</v>
      </c>
      <c r="Y46" s="844">
        <v>107750</v>
      </c>
    </row>
    <row r="47" spans="5:25" ht="15" x14ac:dyDescent="0.25">
      <c r="E47" s="697" t="s">
        <v>253</v>
      </c>
      <c r="F47" s="696">
        <v>36750</v>
      </c>
      <c r="G47" s="696">
        <v>48550</v>
      </c>
      <c r="H47" s="696">
        <v>58800</v>
      </c>
      <c r="I47" s="696">
        <v>77600</v>
      </c>
      <c r="J47" s="814">
        <v>41100</v>
      </c>
      <c r="K47" s="696">
        <v>54300</v>
      </c>
      <c r="L47" s="696">
        <v>65750</v>
      </c>
      <c r="M47" s="696">
        <v>86800</v>
      </c>
      <c r="N47" s="814">
        <v>43500</v>
      </c>
      <c r="O47" s="696">
        <v>57450</v>
      </c>
      <c r="P47" s="696">
        <v>69600</v>
      </c>
      <c r="Q47" s="696">
        <v>91850</v>
      </c>
      <c r="R47" s="814">
        <v>47100</v>
      </c>
      <c r="S47" s="696">
        <v>62200</v>
      </c>
      <c r="T47" s="696">
        <v>75350</v>
      </c>
      <c r="U47" s="696">
        <v>99500</v>
      </c>
      <c r="V47" s="843">
        <v>51000</v>
      </c>
      <c r="W47" s="844">
        <v>67350</v>
      </c>
      <c r="X47" s="844">
        <v>81600</v>
      </c>
      <c r="Y47" s="844">
        <v>107750</v>
      </c>
    </row>
    <row r="48" spans="5:25" ht="15" x14ac:dyDescent="0.25">
      <c r="E48" s="697" t="s">
        <v>254</v>
      </c>
      <c r="F48" s="696">
        <v>37750</v>
      </c>
      <c r="G48" s="696">
        <v>49850</v>
      </c>
      <c r="H48" s="696">
        <v>60400</v>
      </c>
      <c r="I48" s="696">
        <v>79750</v>
      </c>
      <c r="J48" s="814">
        <v>41100</v>
      </c>
      <c r="K48" s="696">
        <v>54300</v>
      </c>
      <c r="L48" s="696">
        <v>65750</v>
      </c>
      <c r="M48" s="696">
        <v>86800</v>
      </c>
      <c r="N48" s="814">
        <v>43500</v>
      </c>
      <c r="O48" s="696">
        <v>57450</v>
      </c>
      <c r="P48" s="696">
        <v>69600</v>
      </c>
      <c r="Q48" s="696">
        <v>91850</v>
      </c>
      <c r="R48" s="814">
        <v>47100</v>
      </c>
      <c r="S48" s="696">
        <v>62200</v>
      </c>
      <c r="T48" s="696">
        <v>75350</v>
      </c>
      <c r="U48" s="696">
        <v>99500</v>
      </c>
      <c r="V48" s="843">
        <v>51000</v>
      </c>
      <c r="W48" s="844">
        <v>67350</v>
      </c>
      <c r="X48" s="844">
        <v>81600</v>
      </c>
      <c r="Y48" s="844">
        <v>107750</v>
      </c>
    </row>
    <row r="49" spans="5:25" ht="15" x14ac:dyDescent="0.25">
      <c r="E49" s="697" t="s">
        <v>255</v>
      </c>
      <c r="F49" s="696">
        <v>36750</v>
      </c>
      <c r="G49" s="696">
        <v>48550</v>
      </c>
      <c r="H49" s="696">
        <v>58800</v>
      </c>
      <c r="I49" s="696">
        <v>77600</v>
      </c>
      <c r="J49" s="814">
        <v>41100</v>
      </c>
      <c r="K49" s="696">
        <v>54300</v>
      </c>
      <c r="L49" s="696">
        <v>65750</v>
      </c>
      <c r="M49" s="696">
        <v>86800</v>
      </c>
      <c r="N49" s="814">
        <v>43500</v>
      </c>
      <c r="O49" s="696">
        <v>57450</v>
      </c>
      <c r="P49" s="696">
        <v>69600</v>
      </c>
      <c r="Q49" s="696">
        <v>91850</v>
      </c>
      <c r="R49" s="814">
        <v>47100</v>
      </c>
      <c r="S49" s="696">
        <v>62200</v>
      </c>
      <c r="T49" s="696">
        <v>75350</v>
      </c>
      <c r="U49" s="696">
        <v>99500</v>
      </c>
      <c r="V49" s="843">
        <v>51000</v>
      </c>
      <c r="W49" s="844">
        <v>67350</v>
      </c>
      <c r="X49" s="844">
        <v>81600</v>
      </c>
      <c r="Y49" s="844">
        <v>107750</v>
      </c>
    </row>
    <row r="50" spans="5:25" ht="15" x14ac:dyDescent="0.25">
      <c r="E50" s="697" t="s">
        <v>256</v>
      </c>
      <c r="F50" s="696">
        <v>36750</v>
      </c>
      <c r="G50" s="696">
        <v>48550</v>
      </c>
      <c r="H50" s="696">
        <v>58800</v>
      </c>
      <c r="I50" s="696">
        <v>77600</v>
      </c>
      <c r="J50" s="814">
        <v>41100</v>
      </c>
      <c r="K50" s="696">
        <v>54300</v>
      </c>
      <c r="L50" s="696">
        <v>65750</v>
      </c>
      <c r="M50" s="696">
        <v>86800</v>
      </c>
      <c r="N50" s="814">
        <v>43500</v>
      </c>
      <c r="O50" s="696">
        <v>57450</v>
      </c>
      <c r="P50" s="696">
        <v>69600</v>
      </c>
      <c r="Q50" s="696">
        <v>91850</v>
      </c>
      <c r="R50" s="814">
        <v>47100</v>
      </c>
      <c r="S50" s="696">
        <v>62200</v>
      </c>
      <c r="T50" s="696">
        <v>75350</v>
      </c>
      <c r="U50" s="696">
        <v>99500</v>
      </c>
      <c r="V50" s="843">
        <v>51000</v>
      </c>
      <c r="W50" s="844">
        <v>67350</v>
      </c>
      <c r="X50" s="844">
        <v>81600</v>
      </c>
      <c r="Y50" s="844">
        <v>107750</v>
      </c>
    </row>
    <row r="51" spans="5:25" ht="15" x14ac:dyDescent="0.25">
      <c r="E51" s="697" t="s">
        <v>257</v>
      </c>
      <c r="F51" s="696">
        <v>36750</v>
      </c>
      <c r="G51" s="696">
        <v>48550</v>
      </c>
      <c r="H51" s="696">
        <v>58800</v>
      </c>
      <c r="I51" s="696">
        <v>77600</v>
      </c>
      <c r="J51" s="814">
        <v>41100</v>
      </c>
      <c r="K51" s="696">
        <v>54300</v>
      </c>
      <c r="L51" s="696">
        <v>65750</v>
      </c>
      <c r="M51" s="696">
        <v>86800</v>
      </c>
      <c r="N51" s="814">
        <v>43500</v>
      </c>
      <c r="O51" s="696">
        <v>57450</v>
      </c>
      <c r="P51" s="696">
        <v>69600</v>
      </c>
      <c r="Q51" s="696">
        <v>91850</v>
      </c>
      <c r="R51" s="814">
        <v>47100</v>
      </c>
      <c r="S51" s="696">
        <v>62200</v>
      </c>
      <c r="T51" s="696">
        <v>75350</v>
      </c>
      <c r="U51" s="696">
        <v>99500</v>
      </c>
      <c r="V51" s="843">
        <v>51000</v>
      </c>
      <c r="W51" s="844">
        <v>67350</v>
      </c>
      <c r="X51" s="844">
        <v>81600</v>
      </c>
      <c r="Y51" s="844">
        <v>107750</v>
      </c>
    </row>
    <row r="52" spans="5:25" ht="15" x14ac:dyDescent="0.25">
      <c r="E52" s="697" t="s">
        <v>258</v>
      </c>
      <c r="F52" s="696">
        <v>36750</v>
      </c>
      <c r="G52" s="696">
        <v>48550</v>
      </c>
      <c r="H52" s="696">
        <v>58800</v>
      </c>
      <c r="I52" s="696">
        <v>77600</v>
      </c>
      <c r="J52" s="814">
        <v>41100</v>
      </c>
      <c r="K52" s="696">
        <v>54300</v>
      </c>
      <c r="L52" s="696">
        <v>65750</v>
      </c>
      <c r="M52" s="696">
        <v>86800</v>
      </c>
      <c r="N52" s="814">
        <v>43500</v>
      </c>
      <c r="O52" s="696">
        <v>57450</v>
      </c>
      <c r="P52" s="696">
        <v>69600</v>
      </c>
      <c r="Q52" s="696">
        <v>91850</v>
      </c>
      <c r="R52" s="814">
        <v>47100</v>
      </c>
      <c r="S52" s="696">
        <v>62200</v>
      </c>
      <c r="T52" s="696">
        <v>75350</v>
      </c>
      <c r="U52" s="696">
        <v>99500</v>
      </c>
      <c r="V52" s="843">
        <v>51000</v>
      </c>
      <c r="W52" s="844">
        <v>67350</v>
      </c>
      <c r="X52" s="844">
        <v>81600</v>
      </c>
      <c r="Y52" s="844">
        <v>107750</v>
      </c>
    </row>
    <row r="53" spans="5:25" ht="15" x14ac:dyDescent="0.25">
      <c r="E53" s="697" t="s">
        <v>259</v>
      </c>
      <c r="F53" s="696">
        <v>36750</v>
      </c>
      <c r="G53" s="696">
        <v>48550</v>
      </c>
      <c r="H53" s="696">
        <v>58800</v>
      </c>
      <c r="I53" s="696">
        <v>77600</v>
      </c>
      <c r="J53" s="814">
        <v>41100</v>
      </c>
      <c r="K53" s="696">
        <v>54300</v>
      </c>
      <c r="L53" s="696">
        <v>65750</v>
      </c>
      <c r="M53" s="696">
        <v>86800</v>
      </c>
      <c r="N53" s="814">
        <v>43500</v>
      </c>
      <c r="O53" s="696">
        <v>57450</v>
      </c>
      <c r="P53" s="696">
        <v>69600</v>
      </c>
      <c r="Q53" s="696">
        <v>91850</v>
      </c>
      <c r="R53" s="814">
        <v>47100</v>
      </c>
      <c r="S53" s="696">
        <v>62200</v>
      </c>
      <c r="T53" s="696">
        <v>75350</v>
      </c>
      <c r="U53" s="696">
        <v>99500</v>
      </c>
      <c r="V53" s="843">
        <v>51000</v>
      </c>
      <c r="W53" s="844">
        <v>67350</v>
      </c>
      <c r="X53" s="844">
        <v>81600</v>
      </c>
      <c r="Y53" s="844">
        <v>107750</v>
      </c>
    </row>
    <row r="54" spans="5:25" ht="15" x14ac:dyDescent="0.25">
      <c r="E54" s="697" t="s">
        <v>260</v>
      </c>
      <c r="F54" s="696">
        <v>39650</v>
      </c>
      <c r="G54" s="696">
        <v>52350</v>
      </c>
      <c r="H54" s="696">
        <v>63450</v>
      </c>
      <c r="I54" s="696">
        <v>83750</v>
      </c>
      <c r="J54" s="814">
        <v>44300</v>
      </c>
      <c r="K54" s="696">
        <v>58500</v>
      </c>
      <c r="L54" s="696">
        <v>70900</v>
      </c>
      <c r="M54" s="696">
        <v>93600</v>
      </c>
      <c r="N54" s="814">
        <v>46550</v>
      </c>
      <c r="O54" s="696">
        <v>61450</v>
      </c>
      <c r="P54" s="696">
        <v>74500</v>
      </c>
      <c r="Q54" s="696">
        <v>98350</v>
      </c>
      <c r="R54" s="814">
        <v>51200</v>
      </c>
      <c r="S54" s="696">
        <v>67550</v>
      </c>
      <c r="T54" s="696">
        <v>81900</v>
      </c>
      <c r="U54" s="696">
        <v>108150</v>
      </c>
      <c r="V54" s="843">
        <v>52250</v>
      </c>
      <c r="W54" s="844">
        <v>69000</v>
      </c>
      <c r="X54" s="844">
        <v>83600</v>
      </c>
      <c r="Y54" s="844">
        <v>110400</v>
      </c>
    </row>
    <row r="55" spans="5:25" ht="15" x14ac:dyDescent="0.25">
      <c r="E55" s="697" t="s">
        <v>261</v>
      </c>
      <c r="F55" s="696">
        <v>52400</v>
      </c>
      <c r="G55" s="696">
        <v>69200</v>
      </c>
      <c r="H55" s="696">
        <v>79900</v>
      </c>
      <c r="I55" s="696">
        <v>105450</v>
      </c>
      <c r="J55" s="814">
        <v>58600</v>
      </c>
      <c r="K55" s="696">
        <v>77400</v>
      </c>
      <c r="L55" s="696">
        <v>90000</v>
      </c>
      <c r="M55" s="696">
        <v>118800</v>
      </c>
      <c r="N55" s="814">
        <v>62050</v>
      </c>
      <c r="O55" s="696">
        <v>81950</v>
      </c>
      <c r="P55" s="696">
        <v>96200</v>
      </c>
      <c r="Q55" s="696">
        <v>127000</v>
      </c>
      <c r="R55" s="814">
        <v>65200</v>
      </c>
      <c r="S55" s="696">
        <v>86100</v>
      </c>
      <c r="T55" s="696">
        <v>102650</v>
      </c>
      <c r="U55" s="696">
        <v>135500</v>
      </c>
      <c r="V55" s="843">
        <v>70050</v>
      </c>
      <c r="W55" s="844">
        <v>92500</v>
      </c>
      <c r="X55" s="844">
        <v>104200</v>
      </c>
      <c r="Y55" s="844">
        <v>137550</v>
      </c>
    </row>
    <row r="56" spans="5:25" ht="15" x14ac:dyDescent="0.25">
      <c r="E56" s="697" t="s">
        <v>262</v>
      </c>
      <c r="F56" s="696">
        <v>36750</v>
      </c>
      <c r="G56" s="696">
        <v>48550</v>
      </c>
      <c r="H56" s="696">
        <v>58800</v>
      </c>
      <c r="I56" s="696">
        <v>77600</v>
      </c>
      <c r="J56" s="814">
        <v>41100</v>
      </c>
      <c r="K56" s="696">
        <v>54300</v>
      </c>
      <c r="L56" s="696">
        <v>65750</v>
      </c>
      <c r="M56" s="696">
        <v>86800</v>
      </c>
      <c r="N56" s="814">
        <v>43500</v>
      </c>
      <c r="O56" s="696">
        <v>57450</v>
      </c>
      <c r="P56" s="696">
        <v>69600</v>
      </c>
      <c r="Q56" s="696">
        <v>91850</v>
      </c>
      <c r="R56" s="814">
        <v>47100</v>
      </c>
      <c r="S56" s="696">
        <v>62200</v>
      </c>
      <c r="T56" s="696">
        <v>75350</v>
      </c>
      <c r="U56" s="696">
        <v>99500</v>
      </c>
      <c r="V56" s="843">
        <v>51000</v>
      </c>
      <c r="W56" s="844">
        <v>67350</v>
      </c>
      <c r="X56" s="844">
        <v>81600</v>
      </c>
      <c r="Y56" s="844">
        <v>107750</v>
      </c>
    </row>
    <row r="57" spans="5:25" ht="15" x14ac:dyDescent="0.25">
      <c r="E57" s="697" t="s">
        <v>263</v>
      </c>
      <c r="F57" s="696">
        <v>55250</v>
      </c>
      <c r="G57" s="696">
        <v>72950</v>
      </c>
      <c r="H57" s="696">
        <v>80950</v>
      </c>
      <c r="I57" s="696">
        <v>106850</v>
      </c>
      <c r="J57" s="814">
        <v>55250</v>
      </c>
      <c r="K57" s="696">
        <v>72950</v>
      </c>
      <c r="L57" s="696">
        <v>88400</v>
      </c>
      <c r="M57" s="696">
        <v>116700</v>
      </c>
      <c r="N57" s="814">
        <v>57150</v>
      </c>
      <c r="O57" s="696">
        <v>75450</v>
      </c>
      <c r="P57" s="696">
        <v>91450</v>
      </c>
      <c r="Q57" s="696">
        <v>120700</v>
      </c>
      <c r="R57" s="814">
        <v>62850</v>
      </c>
      <c r="S57" s="696">
        <v>82950</v>
      </c>
      <c r="T57" s="696">
        <v>97800</v>
      </c>
      <c r="U57" s="696">
        <v>129100</v>
      </c>
      <c r="V57" s="843">
        <v>68650</v>
      </c>
      <c r="W57" s="844">
        <v>90600</v>
      </c>
      <c r="X57" s="844">
        <v>104200</v>
      </c>
      <c r="Y57" s="844">
        <v>137550</v>
      </c>
    </row>
    <row r="58" spans="5:25" ht="15" x14ac:dyDescent="0.25">
      <c r="E58" s="697" t="s">
        <v>264</v>
      </c>
      <c r="F58" s="696">
        <v>36750</v>
      </c>
      <c r="G58" s="696">
        <v>48550</v>
      </c>
      <c r="H58" s="696">
        <v>58800</v>
      </c>
      <c r="I58" s="696">
        <v>77600</v>
      </c>
      <c r="J58" s="814">
        <v>41100</v>
      </c>
      <c r="K58" s="696">
        <v>54300</v>
      </c>
      <c r="L58" s="696">
        <v>65750</v>
      </c>
      <c r="M58" s="696">
        <v>86800</v>
      </c>
      <c r="N58" s="814">
        <v>43500</v>
      </c>
      <c r="O58" s="696">
        <v>57450</v>
      </c>
      <c r="P58" s="696">
        <v>69600</v>
      </c>
      <c r="Q58" s="696">
        <v>91850</v>
      </c>
      <c r="R58" s="814">
        <v>47100</v>
      </c>
      <c r="S58" s="696">
        <v>62200</v>
      </c>
      <c r="T58" s="696">
        <v>75350</v>
      </c>
      <c r="U58" s="696">
        <v>99500</v>
      </c>
      <c r="V58" s="843">
        <v>51000</v>
      </c>
      <c r="W58" s="844">
        <v>67350</v>
      </c>
      <c r="X58" s="844">
        <v>81600</v>
      </c>
      <c r="Y58" s="844">
        <v>107750</v>
      </c>
    </row>
    <row r="59" spans="5:25" ht="15" x14ac:dyDescent="0.25">
      <c r="E59" s="697" t="s">
        <v>265</v>
      </c>
      <c r="F59" s="696">
        <v>36750</v>
      </c>
      <c r="G59" s="696">
        <v>48550</v>
      </c>
      <c r="H59" s="696">
        <v>58800</v>
      </c>
      <c r="I59" s="696">
        <v>77600</v>
      </c>
      <c r="J59" s="814">
        <v>41100</v>
      </c>
      <c r="K59" s="696">
        <v>54300</v>
      </c>
      <c r="L59" s="696">
        <v>65750</v>
      </c>
      <c r="M59" s="696">
        <v>86800</v>
      </c>
      <c r="N59" s="814">
        <v>43500</v>
      </c>
      <c r="O59" s="696">
        <v>57450</v>
      </c>
      <c r="P59" s="696">
        <v>69600</v>
      </c>
      <c r="Q59" s="696">
        <v>91850</v>
      </c>
      <c r="R59" s="814">
        <v>47100</v>
      </c>
      <c r="S59" s="696">
        <v>62200</v>
      </c>
      <c r="T59" s="696">
        <v>75350</v>
      </c>
      <c r="U59" s="696">
        <v>99500</v>
      </c>
      <c r="V59" s="843">
        <v>51000</v>
      </c>
      <c r="W59" s="844">
        <v>67350</v>
      </c>
      <c r="X59" s="844">
        <v>81600</v>
      </c>
      <c r="Y59" s="844">
        <v>107750</v>
      </c>
    </row>
    <row r="60" spans="5:25" ht="15" x14ac:dyDescent="0.25">
      <c r="E60" s="697" t="s">
        <v>266</v>
      </c>
      <c r="F60" s="696">
        <v>41700</v>
      </c>
      <c r="G60" s="696">
        <v>55050</v>
      </c>
      <c r="H60" s="696">
        <v>66700</v>
      </c>
      <c r="I60" s="696">
        <v>88050</v>
      </c>
      <c r="J60" s="814">
        <v>42150</v>
      </c>
      <c r="K60" s="696">
        <v>55650</v>
      </c>
      <c r="L60" s="696">
        <v>67450</v>
      </c>
      <c r="M60" s="696">
        <v>89050</v>
      </c>
      <c r="N60" s="814">
        <v>44600</v>
      </c>
      <c r="O60" s="696">
        <v>58900</v>
      </c>
      <c r="P60" s="696">
        <v>71350</v>
      </c>
      <c r="Q60" s="696">
        <v>94200</v>
      </c>
      <c r="R60" s="814">
        <v>47100</v>
      </c>
      <c r="S60" s="696">
        <v>62200</v>
      </c>
      <c r="T60" s="696">
        <v>75350</v>
      </c>
      <c r="U60" s="696">
        <v>99500</v>
      </c>
      <c r="V60" s="843">
        <v>51000</v>
      </c>
      <c r="W60" s="844">
        <v>67350</v>
      </c>
      <c r="X60" s="844">
        <v>81600</v>
      </c>
      <c r="Y60" s="844">
        <v>107750</v>
      </c>
    </row>
    <row r="61" spans="5:25" ht="15" x14ac:dyDescent="0.25">
      <c r="E61" s="697" t="s">
        <v>267</v>
      </c>
      <c r="F61" s="696">
        <v>36750</v>
      </c>
      <c r="G61" s="696">
        <v>48550</v>
      </c>
      <c r="H61" s="696">
        <v>58800</v>
      </c>
      <c r="I61" s="696">
        <v>77600</v>
      </c>
      <c r="J61" s="814">
        <v>41100</v>
      </c>
      <c r="K61" s="696">
        <v>54300</v>
      </c>
      <c r="L61" s="696">
        <v>65750</v>
      </c>
      <c r="M61" s="696">
        <v>86800</v>
      </c>
      <c r="N61" s="814">
        <v>43500</v>
      </c>
      <c r="O61" s="696">
        <v>57450</v>
      </c>
      <c r="P61" s="696">
        <v>69600</v>
      </c>
      <c r="Q61" s="696">
        <v>91850</v>
      </c>
      <c r="R61" s="814">
        <v>47100</v>
      </c>
      <c r="S61" s="696">
        <v>62200</v>
      </c>
      <c r="T61" s="696">
        <v>75350</v>
      </c>
      <c r="U61" s="696">
        <v>99500</v>
      </c>
      <c r="V61" s="843">
        <v>51000</v>
      </c>
      <c r="W61" s="844">
        <v>67350</v>
      </c>
      <c r="X61" s="844">
        <v>81600</v>
      </c>
      <c r="Y61" s="844">
        <v>107750</v>
      </c>
    </row>
    <row r="62" spans="5:25" ht="15" x14ac:dyDescent="0.25">
      <c r="E62" s="697" t="s">
        <v>268</v>
      </c>
      <c r="F62" s="696">
        <v>45750</v>
      </c>
      <c r="G62" s="696">
        <v>60400</v>
      </c>
      <c r="H62" s="696">
        <v>73200</v>
      </c>
      <c r="I62" s="696">
        <v>96600</v>
      </c>
      <c r="J62" s="814">
        <v>51150</v>
      </c>
      <c r="K62" s="696">
        <v>67550</v>
      </c>
      <c r="L62" s="696">
        <v>81850</v>
      </c>
      <c r="M62" s="696">
        <v>108050</v>
      </c>
      <c r="N62" s="814">
        <v>54150</v>
      </c>
      <c r="O62" s="696">
        <v>71500</v>
      </c>
      <c r="P62" s="696">
        <v>86650</v>
      </c>
      <c r="Q62" s="696">
        <v>114400</v>
      </c>
      <c r="R62" s="814">
        <v>59550</v>
      </c>
      <c r="S62" s="696">
        <v>78650</v>
      </c>
      <c r="T62" s="696">
        <v>95300</v>
      </c>
      <c r="U62" s="696">
        <v>125800</v>
      </c>
      <c r="V62" s="843">
        <v>65000</v>
      </c>
      <c r="W62" s="844">
        <v>85800</v>
      </c>
      <c r="X62" s="844">
        <v>104000</v>
      </c>
      <c r="Y62" s="844">
        <v>137300</v>
      </c>
    </row>
    <row r="63" spans="5:25" ht="15" x14ac:dyDescent="0.25">
      <c r="E63" s="697" t="s">
        <v>269</v>
      </c>
      <c r="F63" s="696">
        <v>36750</v>
      </c>
      <c r="G63" s="696">
        <v>48550</v>
      </c>
      <c r="H63" s="696">
        <v>58800</v>
      </c>
      <c r="I63" s="696">
        <v>77600</v>
      </c>
      <c r="J63" s="814">
        <v>41100</v>
      </c>
      <c r="K63" s="696">
        <v>54300</v>
      </c>
      <c r="L63" s="696">
        <v>65750</v>
      </c>
      <c r="M63" s="696">
        <v>86800</v>
      </c>
      <c r="N63" s="814">
        <v>43500</v>
      </c>
      <c r="O63" s="696">
        <v>57450</v>
      </c>
      <c r="P63" s="696">
        <v>69600</v>
      </c>
      <c r="Q63" s="696">
        <v>91850</v>
      </c>
      <c r="R63" s="814">
        <v>47100</v>
      </c>
      <c r="S63" s="696">
        <v>62200</v>
      </c>
      <c r="T63" s="696">
        <v>75350</v>
      </c>
      <c r="U63" s="696">
        <v>99500</v>
      </c>
      <c r="V63" s="843">
        <v>51000</v>
      </c>
      <c r="W63" s="844">
        <v>67350</v>
      </c>
      <c r="X63" s="844">
        <v>81600</v>
      </c>
      <c r="Y63" s="844">
        <v>107750</v>
      </c>
    </row>
    <row r="64" spans="5:25" ht="15" x14ac:dyDescent="0.25">
      <c r="E64" s="697" t="s">
        <v>270</v>
      </c>
      <c r="F64" s="696">
        <v>36750</v>
      </c>
      <c r="G64" s="696">
        <v>48550</v>
      </c>
      <c r="H64" s="696">
        <v>58800</v>
      </c>
      <c r="I64" s="696">
        <v>77600</v>
      </c>
      <c r="J64" s="814">
        <v>41100</v>
      </c>
      <c r="K64" s="696">
        <v>54300</v>
      </c>
      <c r="L64" s="696">
        <v>65750</v>
      </c>
      <c r="M64" s="696">
        <v>86800</v>
      </c>
      <c r="N64" s="814">
        <v>43500</v>
      </c>
      <c r="O64" s="696">
        <v>57450</v>
      </c>
      <c r="P64" s="696">
        <v>69600</v>
      </c>
      <c r="Q64" s="696">
        <v>91850</v>
      </c>
      <c r="R64" s="814">
        <v>47100</v>
      </c>
      <c r="S64" s="696">
        <v>62200</v>
      </c>
      <c r="T64" s="696">
        <v>75350</v>
      </c>
      <c r="U64" s="696">
        <v>99500</v>
      </c>
      <c r="V64" s="843">
        <v>51000</v>
      </c>
      <c r="W64" s="844">
        <v>67350</v>
      </c>
      <c r="X64" s="844">
        <v>81600</v>
      </c>
      <c r="Y64" s="844">
        <v>107750</v>
      </c>
    </row>
    <row r="65" spans="5:25" ht="15" x14ac:dyDescent="0.25">
      <c r="E65" s="697" t="s">
        <v>271</v>
      </c>
      <c r="F65" s="696">
        <v>43950</v>
      </c>
      <c r="G65" s="696">
        <v>58050</v>
      </c>
      <c r="H65" s="696">
        <v>70300</v>
      </c>
      <c r="I65" s="696">
        <v>92800</v>
      </c>
      <c r="J65" s="814">
        <v>47800</v>
      </c>
      <c r="K65" s="696">
        <v>63100</v>
      </c>
      <c r="L65" s="696">
        <v>76500</v>
      </c>
      <c r="M65" s="696">
        <v>101000</v>
      </c>
      <c r="N65" s="814">
        <v>49850</v>
      </c>
      <c r="O65" s="696">
        <v>65850</v>
      </c>
      <c r="P65" s="696">
        <v>79750</v>
      </c>
      <c r="Q65" s="696">
        <v>105250</v>
      </c>
      <c r="R65" s="814">
        <v>54800</v>
      </c>
      <c r="S65" s="696">
        <v>72350</v>
      </c>
      <c r="T65" s="696">
        <v>87700</v>
      </c>
      <c r="U65" s="696">
        <v>115800</v>
      </c>
      <c r="V65" s="843">
        <v>59750</v>
      </c>
      <c r="W65" s="844">
        <v>78900</v>
      </c>
      <c r="X65" s="844">
        <v>95600</v>
      </c>
      <c r="Y65" s="844">
        <v>126200</v>
      </c>
    </row>
    <row r="66" spans="5:25" ht="15" x14ac:dyDescent="0.25">
      <c r="E66" s="697" t="s">
        <v>272</v>
      </c>
      <c r="F66" s="696">
        <v>36750</v>
      </c>
      <c r="G66" s="696">
        <v>48550</v>
      </c>
      <c r="H66" s="696">
        <v>58800</v>
      </c>
      <c r="I66" s="696">
        <v>77600</v>
      </c>
      <c r="J66" s="814">
        <v>41100</v>
      </c>
      <c r="K66" s="696">
        <v>54300</v>
      </c>
      <c r="L66" s="696">
        <v>65750</v>
      </c>
      <c r="M66" s="696">
        <v>86800</v>
      </c>
      <c r="N66" s="814">
        <v>43500</v>
      </c>
      <c r="O66" s="696">
        <v>57450</v>
      </c>
      <c r="P66" s="696">
        <v>69600</v>
      </c>
      <c r="Q66" s="696">
        <v>91850</v>
      </c>
      <c r="R66" s="814">
        <v>47100</v>
      </c>
      <c r="S66" s="696">
        <v>62200</v>
      </c>
      <c r="T66" s="696">
        <v>75350</v>
      </c>
      <c r="U66" s="696">
        <v>99500</v>
      </c>
      <c r="V66" s="843">
        <v>51000</v>
      </c>
      <c r="W66" s="844">
        <v>67350</v>
      </c>
      <c r="X66" s="844">
        <v>81600</v>
      </c>
      <c r="Y66" s="844">
        <v>107750</v>
      </c>
    </row>
    <row r="67" spans="5:25" ht="15" x14ac:dyDescent="0.25">
      <c r="E67" s="697" t="s">
        <v>273</v>
      </c>
      <c r="F67" s="696">
        <v>48050</v>
      </c>
      <c r="G67" s="696">
        <v>63450</v>
      </c>
      <c r="H67" s="696">
        <v>76900</v>
      </c>
      <c r="I67" s="696">
        <v>101500</v>
      </c>
      <c r="J67" s="814">
        <v>52350</v>
      </c>
      <c r="K67" s="696">
        <v>69150</v>
      </c>
      <c r="L67" s="696">
        <v>83750</v>
      </c>
      <c r="M67" s="696">
        <v>110550</v>
      </c>
      <c r="N67" s="814">
        <v>55400</v>
      </c>
      <c r="O67" s="696">
        <v>73150</v>
      </c>
      <c r="P67" s="696">
        <v>88650</v>
      </c>
      <c r="Q67" s="696">
        <v>117000</v>
      </c>
      <c r="R67" s="814">
        <v>60900</v>
      </c>
      <c r="S67" s="696">
        <v>80400</v>
      </c>
      <c r="T67" s="696">
        <v>97450</v>
      </c>
      <c r="U67" s="696">
        <v>128650</v>
      </c>
      <c r="V67" s="843">
        <v>66500</v>
      </c>
      <c r="W67" s="844">
        <v>87800</v>
      </c>
      <c r="X67" s="844">
        <v>106400</v>
      </c>
      <c r="Y67" s="844">
        <v>140450</v>
      </c>
    </row>
    <row r="68" spans="5:25" ht="15" x14ac:dyDescent="0.25">
      <c r="E68" s="697" t="s">
        <v>274</v>
      </c>
      <c r="F68" s="696">
        <v>40900</v>
      </c>
      <c r="G68" s="696">
        <v>54000</v>
      </c>
      <c r="H68" s="696">
        <v>65450</v>
      </c>
      <c r="I68" s="696">
        <v>86400</v>
      </c>
      <c r="J68" s="814">
        <v>44200</v>
      </c>
      <c r="K68" s="696">
        <v>58350</v>
      </c>
      <c r="L68" s="696">
        <v>70700</v>
      </c>
      <c r="M68" s="696">
        <v>93300</v>
      </c>
      <c r="N68" s="814">
        <v>46800</v>
      </c>
      <c r="O68" s="696">
        <v>61800</v>
      </c>
      <c r="P68" s="696">
        <v>74900</v>
      </c>
      <c r="Q68" s="696">
        <v>98850</v>
      </c>
      <c r="R68" s="814">
        <v>47150</v>
      </c>
      <c r="S68" s="696">
        <v>62250</v>
      </c>
      <c r="T68" s="696">
        <v>75450</v>
      </c>
      <c r="U68" s="696">
        <v>99600</v>
      </c>
      <c r="V68" s="843">
        <v>51500</v>
      </c>
      <c r="W68" s="844">
        <v>67950</v>
      </c>
      <c r="X68" s="844">
        <v>82400</v>
      </c>
      <c r="Y68" s="844">
        <v>108750</v>
      </c>
    </row>
    <row r="69" spans="5:25" ht="15" x14ac:dyDescent="0.25">
      <c r="E69" s="697" t="s">
        <v>275</v>
      </c>
      <c r="F69" s="696">
        <v>36750</v>
      </c>
      <c r="G69" s="696">
        <v>48550</v>
      </c>
      <c r="H69" s="696">
        <v>58800</v>
      </c>
      <c r="I69" s="696">
        <v>77600</v>
      </c>
      <c r="J69" s="814">
        <v>41100</v>
      </c>
      <c r="K69" s="696">
        <v>54300</v>
      </c>
      <c r="L69" s="696">
        <v>65750</v>
      </c>
      <c r="M69" s="696">
        <v>86800</v>
      </c>
      <c r="N69" s="814">
        <v>43500</v>
      </c>
      <c r="O69" s="696">
        <v>57450</v>
      </c>
      <c r="P69" s="696">
        <v>69600</v>
      </c>
      <c r="Q69" s="696">
        <v>91850</v>
      </c>
      <c r="R69" s="814">
        <v>47100</v>
      </c>
      <c r="S69" s="696">
        <v>62200</v>
      </c>
      <c r="T69" s="696">
        <v>75350</v>
      </c>
      <c r="U69" s="696">
        <v>99500</v>
      </c>
      <c r="V69" s="843">
        <v>51000</v>
      </c>
      <c r="W69" s="844">
        <v>67350</v>
      </c>
      <c r="X69" s="844">
        <v>81600</v>
      </c>
      <c r="Y69" s="844">
        <v>107750</v>
      </c>
    </row>
    <row r="70" spans="5:25" ht="15" x14ac:dyDescent="0.25">
      <c r="E70" s="697" t="s">
        <v>276</v>
      </c>
      <c r="F70" s="696">
        <v>44250</v>
      </c>
      <c r="G70" s="696">
        <v>58450</v>
      </c>
      <c r="H70" s="696">
        <v>70800</v>
      </c>
      <c r="I70" s="696">
        <v>93450</v>
      </c>
      <c r="J70" s="814">
        <v>49500</v>
      </c>
      <c r="K70" s="696">
        <v>65350</v>
      </c>
      <c r="L70" s="696">
        <v>79200</v>
      </c>
      <c r="M70" s="696">
        <v>104550</v>
      </c>
      <c r="N70" s="814">
        <v>52400</v>
      </c>
      <c r="O70" s="696">
        <v>69200</v>
      </c>
      <c r="P70" s="696">
        <v>83850</v>
      </c>
      <c r="Q70" s="696">
        <v>110700</v>
      </c>
      <c r="R70" s="814">
        <v>57250</v>
      </c>
      <c r="S70" s="696">
        <v>75600</v>
      </c>
      <c r="T70" s="696">
        <v>91600</v>
      </c>
      <c r="U70" s="696">
        <v>120950</v>
      </c>
      <c r="V70" s="843">
        <v>57250</v>
      </c>
      <c r="W70" s="844">
        <v>75600</v>
      </c>
      <c r="X70" s="844">
        <v>91600</v>
      </c>
      <c r="Y70" s="844">
        <v>120950</v>
      </c>
    </row>
    <row r="71" spans="5:25" ht="15" x14ac:dyDescent="0.25">
      <c r="E71" s="697" t="s">
        <v>277</v>
      </c>
      <c r="F71" s="696">
        <v>36750</v>
      </c>
      <c r="G71" s="696">
        <v>48550</v>
      </c>
      <c r="H71" s="696">
        <v>58800</v>
      </c>
      <c r="I71" s="696">
        <v>77600</v>
      </c>
      <c r="J71" s="814">
        <v>41100</v>
      </c>
      <c r="K71" s="696">
        <v>54300</v>
      </c>
      <c r="L71" s="696">
        <v>65750</v>
      </c>
      <c r="M71" s="696">
        <v>86800</v>
      </c>
      <c r="N71" s="814">
        <v>43500</v>
      </c>
      <c r="O71" s="696">
        <v>57450</v>
      </c>
      <c r="P71" s="696">
        <v>69600</v>
      </c>
      <c r="Q71" s="696">
        <v>91850</v>
      </c>
      <c r="R71" s="814">
        <v>47100</v>
      </c>
      <c r="S71" s="696">
        <v>62200</v>
      </c>
      <c r="T71" s="696">
        <v>75350</v>
      </c>
      <c r="U71" s="696">
        <v>99500</v>
      </c>
      <c r="V71" s="843">
        <v>51000</v>
      </c>
      <c r="W71" s="844">
        <v>67350</v>
      </c>
      <c r="X71" s="844">
        <v>81600</v>
      </c>
      <c r="Y71" s="844">
        <v>107750</v>
      </c>
    </row>
    <row r="72" spans="5:25" ht="15" x14ac:dyDescent="0.25">
      <c r="E72" s="697" t="s">
        <v>1781</v>
      </c>
      <c r="F72" s="696">
        <v>38050</v>
      </c>
      <c r="G72" s="696">
        <v>50250</v>
      </c>
      <c r="H72" s="696">
        <v>60900</v>
      </c>
      <c r="I72" s="696">
        <v>80400</v>
      </c>
      <c r="J72" s="814">
        <v>41850</v>
      </c>
      <c r="K72" s="696">
        <v>55250</v>
      </c>
      <c r="L72" s="696">
        <v>66950</v>
      </c>
      <c r="M72" s="696">
        <v>88350</v>
      </c>
      <c r="N72" s="814">
        <v>43650</v>
      </c>
      <c r="O72" s="696">
        <v>57650</v>
      </c>
      <c r="P72" s="696">
        <v>69850</v>
      </c>
      <c r="Q72" s="696">
        <v>92200</v>
      </c>
      <c r="R72" s="814">
        <v>43650</v>
      </c>
      <c r="S72" s="696">
        <v>57650</v>
      </c>
      <c r="T72" s="696">
        <v>69850</v>
      </c>
      <c r="U72" s="696">
        <v>92250</v>
      </c>
      <c r="V72" s="843">
        <v>45300</v>
      </c>
      <c r="W72" s="844">
        <v>59800</v>
      </c>
      <c r="X72" s="844">
        <v>72500</v>
      </c>
      <c r="Y72" s="844">
        <v>95700</v>
      </c>
    </row>
    <row r="73" spans="5:25" ht="15" x14ac:dyDescent="0.25">
      <c r="E73" s="697" t="s">
        <v>278</v>
      </c>
      <c r="F73" s="696">
        <v>37250</v>
      </c>
      <c r="G73" s="696">
        <v>49200</v>
      </c>
      <c r="H73" s="696">
        <v>59600</v>
      </c>
      <c r="I73" s="696">
        <v>78650</v>
      </c>
      <c r="J73" s="814">
        <v>41450</v>
      </c>
      <c r="K73" s="696">
        <v>54750</v>
      </c>
      <c r="L73" s="696">
        <v>66300</v>
      </c>
      <c r="M73" s="696">
        <v>87500</v>
      </c>
      <c r="N73" s="814">
        <v>43900</v>
      </c>
      <c r="O73" s="696">
        <v>57950</v>
      </c>
      <c r="P73" s="696">
        <v>70250</v>
      </c>
      <c r="Q73" s="696">
        <v>92750</v>
      </c>
      <c r="R73" s="814">
        <v>43900</v>
      </c>
      <c r="S73" s="696">
        <v>57950</v>
      </c>
      <c r="T73" s="696">
        <v>70250</v>
      </c>
      <c r="U73" s="696">
        <v>92750</v>
      </c>
      <c r="V73" s="843">
        <v>46000</v>
      </c>
      <c r="W73" s="844">
        <v>60750</v>
      </c>
      <c r="X73" s="844">
        <v>73600</v>
      </c>
      <c r="Y73" s="844">
        <v>97200</v>
      </c>
    </row>
    <row r="74" spans="5:25" ht="15" x14ac:dyDescent="0.25">
      <c r="E74" s="697" t="s">
        <v>279</v>
      </c>
      <c r="F74" s="696">
        <v>39650</v>
      </c>
      <c r="G74" s="696">
        <v>52350</v>
      </c>
      <c r="H74" s="696">
        <v>63450</v>
      </c>
      <c r="I74" s="696">
        <v>83750</v>
      </c>
      <c r="J74" s="814">
        <v>43050</v>
      </c>
      <c r="K74" s="696">
        <v>56850</v>
      </c>
      <c r="L74" s="696">
        <v>68900</v>
      </c>
      <c r="M74" s="696">
        <v>90950</v>
      </c>
      <c r="N74" s="814">
        <v>45550</v>
      </c>
      <c r="O74" s="696">
        <v>60150</v>
      </c>
      <c r="P74" s="696">
        <v>72900</v>
      </c>
      <c r="Q74" s="696">
        <v>96250</v>
      </c>
      <c r="R74" s="814">
        <v>50100</v>
      </c>
      <c r="S74" s="696">
        <v>66150</v>
      </c>
      <c r="T74" s="696">
        <v>80150</v>
      </c>
      <c r="U74" s="696">
        <v>105800</v>
      </c>
      <c r="V74" s="843">
        <v>54400</v>
      </c>
      <c r="W74" s="844">
        <v>71850</v>
      </c>
      <c r="X74" s="844">
        <v>87050</v>
      </c>
      <c r="Y74" s="844">
        <v>114950</v>
      </c>
    </row>
    <row r="75" spans="5:25" ht="15" x14ac:dyDescent="0.25">
      <c r="E75" s="697" t="s">
        <v>1644</v>
      </c>
      <c r="F75" s="696">
        <v>41450</v>
      </c>
      <c r="G75" s="696">
        <v>54750</v>
      </c>
      <c r="H75" s="696">
        <v>66300</v>
      </c>
      <c r="I75" s="696">
        <v>87500</v>
      </c>
      <c r="J75" s="814">
        <v>43750</v>
      </c>
      <c r="K75" s="696">
        <v>57750</v>
      </c>
      <c r="L75" s="696">
        <v>70000</v>
      </c>
      <c r="M75" s="696">
        <v>92400</v>
      </c>
      <c r="N75" s="814">
        <v>46300</v>
      </c>
      <c r="O75" s="696">
        <v>61150</v>
      </c>
      <c r="P75" s="696">
        <v>74100</v>
      </c>
      <c r="Q75" s="696">
        <v>97800</v>
      </c>
      <c r="R75" s="814">
        <v>50900</v>
      </c>
      <c r="S75" s="696">
        <v>67200</v>
      </c>
      <c r="T75" s="696">
        <v>81450</v>
      </c>
      <c r="U75" s="696">
        <v>107550</v>
      </c>
      <c r="V75" s="843">
        <v>51350</v>
      </c>
      <c r="W75" s="844">
        <v>67800</v>
      </c>
      <c r="X75" s="844">
        <v>82150</v>
      </c>
      <c r="Y75" s="844">
        <v>108450</v>
      </c>
    </row>
    <row r="76" spans="5:25" ht="15" x14ac:dyDescent="0.25">
      <c r="E76" s="697" t="s">
        <v>280</v>
      </c>
      <c r="F76" s="696">
        <v>43900</v>
      </c>
      <c r="G76" s="696">
        <v>57950</v>
      </c>
      <c r="H76" s="696">
        <v>70250</v>
      </c>
      <c r="I76" s="696">
        <v>92750</v>
      </c>
      <c r="J76" s="814">
        <v>47550</v>
      </c>
      <c r="K76" s="696">
        <v>62800</v>
      </c>
      <c r="L76" s="696">
        <v>76100</v>
      </c>
      <c r="M76" s="696">
        <v>100450</v>
      </c>
      <c r="N76" s="814">
        <v>50350</v>
      </c>
      <c r="O76" s="696">
        <v>66500</v>
      </c>
      <c r="P76" s="696">
        <v>80550</v>
      </c>
      <c r="Q76" s="696">
        <v>106350</v>
      </c>
      <c r="R76" s="814">
        <v>54750</v>
      </c>
      <c r="S76" s="696">
        <v>72300</v>
      </c>
      <c r="T76" s="696">
        <v>87600</v>
      </c>
      <c r="U76" s="696">
        <v>115650</v>
      </c>
      <c r="V76" s="843">
        <v>56850</v>
      </c>
      <c r="W76" s="844">
        <v>75050</v>
      </c>
      <c r="X76" s="844">
        <v>90950</v>
      </c>
      <c r="Y76" s="844">
        <v>120100</v>
      </c>
    </row>
    <row r="77" spans="5:25" ht="15" x14ac:dyDescent="0.25">
      <c r="E77" s="697" t="s">
        <v>281</v>
      </c>
      <c r="F77" s="696">
        <v>45650</v>
      </c>
      <c r="G77" s="696">
        <v>60300</v>
      </c>
      <c r="H77" s="696">
        <v>73050</v>
      </c>
      <c r="I77" s="696">
        <v>96450</v>
      </c>
      <c r="J77" s="814">
        <v>49250</v>
      </c>
      <c r="K77" s="696">
        <v>65050</v>
      </c>
      <c r="L77" s="696">
        <v>78800</v>
      </c>
      <c r="M77" s="696">
        <v>104000</v>
      </c>
      <c r="N77" s="814">
        <v>52150</v>
      </c>
      <c r="O77" s="696">
        <v>68850</v>
      </c>
      <c r="P77" s="696">
        <v>83450</v>
      </c>
      <c r="Q77" s="696">
        <v>110150</v>
      </c>
      <c r="R77" s="814">
        <v>56500</v>
      </c>
      <c r="S77" s="696">
        <v>74600</v>
      </c>
      <c r="T77" s="696">
        <v>90400</v>
      </c>
      <c r="U77" s="696">
        <v>119350</v>
      </c>
      <c r="V77" s="843">
        <v>57250</v>
      </c>
      <c r="W77" s="844">
        <v>75600</v>
      </c>
      <c r="X77" s="844">
        <v>91600</v>
      </c>
      <c r="Y77" s="844">
        <v>120950</v>
      </c>
    </row>
    <row r="78" spans="5:25" ht="15" x14ac:dyDescent="0.25">
      <c r="E78" s="697" t="s">
        <v>282</v>
      </c>
      <c r="F78" s="696">
        <v>43900</v>
      </c>
      <c r="G78" s="696">
        <v>57950</v>
      </c>
      <c r="H78" s="696">
        <v>70250</v>
      </c>
      <c r="I78" s="696">
        <v>92750</v>
      </c>
      <c r="J78" s="814">
        <v>47550</v>
      </c>
      <c r="K78" s="696">
        <v>62800</v>
      </c>
      <c r="L78" s="696">
        <v>76100</v>
      </c>
      <c r="M78" s="696">
        <v>100450</v>
      </c>
      <c r="N78" s="814">
        <v>50350</v>
      </c>
      <c r="O78" s="696">
        <v>66500</v>
      </c>
      <c r="P78" s="696">
        <v>80550</v>
      </c>
      <c r="Q78" s="696">
        <v>106350</v>
      </c>
      <c r="R78" s="814">
        <v>54750</v>
      </c>
      <c r="S78" s="696">
        <v>72300</v>
      </c>
      <c r="T78" s="696">
        <v>87600</v>
      </c>
      <c r="U78" s="696">
        <v>115650</v>
      </c>
      <c r="V78" s="843">
        <v>56850</v>
      </c>
      <c r="W78" s="844">
        <v>75050</v>
      </c>
      <c r="X78" s="844">
        <v>90950</v>
      </c>
      <c r="Y78" s="844">
        <v>120100</v>
      </c>
    </row>
    <row r="79" spans="5:25" ht="15" x14ac:dyDescent="0.25">
      <c r="E79" s="697" t="s">
        <v>283</v>
      </c>
      <c r="F79" s="696">
        <v>37750</v>
      </c>
      <c r="G79" s="696">
        <v>49850</v>
      </c>
      <c r="H79" s="696">
        <v>60400</v>
      </c>
      <c r="I79" s="696">
        <v>79750</v>
      </c>
      <c r="J79" s="814">
        <v>42200</v>
      </c>
      <c r="K79" s="696">
        <v>55750</v>
      </c>
      <c r="L79" s="696">
        <v>67500</v>
      </c>
      <c r="M79" s="696">
        <v>89100</v>
      </c>
      <c r="N79" s="814">
        <v>44650</v>
      </c>
      <c r="O79" s="696">
        <v>58950</v>
      </c>
      <c r="P79" s="696">
        <v>71450</v>
      </c>
      <c r="Q79" s="696">
        <v>94300</v>
      </c>
      <c r="R79" s="814">
        <v>47800</v>
      </c>
      <c r="S79" s="696">
        <v>63100</v>
      </c>
      <c r="T79" s="696">
        <v>76500</v>
      </c>
      <c r="U79" s="696">
        <v>101000</v>
      </c>
      <c r="V79" s="843">
        <v>48850</v>
      </c>
      <c r="W79" s="844">
        <v>64500</v>
      </c>
      <c r="X79" s="844">
        <v>78150</v>
      </c>
      <c r="Y79" s="844">
        <v>103200</v>
      </c>
    </row>
    <row r="80" spans="5:25" ht="15" x14ac:dyDescent="0.25">
      <c r="E80" s="697" t="s">
        <v>284</v>
      </c>
      <c r="F80" s="696">
        <v>36250</v>
      </c>
      <c r="G80" s="696">
        <v>47850</v>
      </c>
      <c r="H80" s="696">
        <v>58000</v>
      </c>
      <c r="I80" s="696">
        <v>76550</v>
      </c>
      <c r="J80" s="814">
        <v>39450</v>
      </c>
      <c r="K80" s="696">
        <v>52100</v>
      </c>
      <c r="L80" s="696">
        <v>63100</v>
      </c>
      <c r="M80" s="696">
        <v>83300</v>
      </c>
      <c r="N80" s="814">
        <v>41750</v>
      </c>
      <c r="O80" s="696">
        <v>55150</v>
      </c>
      <c r="P80" s="696">
        <v>66800</v>
      </c>
      <c r="Q80" s="696">
        <v>88200</v>
      </c>
      <c r="R80" s="814">
        <v>43900</v>
      </c>
      <c r="S80" s="696">
        <v>57950</v>
      </c>
      <c r="T80" s="696">
        <v>70250</v>
      </c>
      <c r="U80" s="696">
        <v>92750</v>
      </c>
      <c r="V80" s="843">
        <v>47950</v>
      </c>
      <c r="W80" s="844">
        <v>63250</v>
      </c>
      <c r="X80" s="844">
        <v>76700</v>
      </c>
      <c r="Y80" s="844">
        <v>101250</v>
      </c>
    </row>
    <row r="81" spans="5:25" ht="15" x14ac:dyDescent="0.25">
      <c r="E81" s="697" t="s">
        <v>285</v>
      </c>
      <c r="F81" s="696">
        <v>37500</v>
      </c>
      <c r="G81" s="696">
        <v>49500</v>
      </c>
      <c r="H81" s="696">
        <v>60000</v>
      </c>
      <c r="I81" s="696">
        <v>79200</v>
      </c>
      <c r="J81" s="814">
        <v>41000</v>
      </c>
      <c r="K81" s="696">
        <v>54150</v>
      </c>
      <c r="L81" s="696">
        <v>65600</v>
      </c>
      <c r="M81" s="696">
        <v>86600</v>
      </c>
      <c r="N81" s="814">
        <v>43150</v>
      </c>
      <c r="O81" s="696">
        <v>57000</v>
      </c>
      <c r="P81" s="696">
        <v>69050</v>
      </c>
      <c r="Q81" s="696">
        <v>91150</v>
      </c>
      <c r="R81" s="814">
        <v>46250</v>
      </c>
      <c r="S81" s="696">
        <v>61050</v>
      </c>
      <c r="T81" s="696">
        <v>74000</v>
      </c>
      <c r="U81" s="696">
        <v>97700</v>
      </c>
      <c r="V81" s="843">
        <v>46250</v>
      </c>
      <c r="W81" s="844">
        <v>61050</v>
      </c>
      <c r="X81" s="844">
        <v>74000</v>
      </c>
      <c r="Y81" s="844">
        <v>97700</v>
      </c>
    </row>
    <row r="82" spans="5:25" ht="15" x14ac:dyDescent="0.25">
      <c r="E82" s="697" t="s">
        <v>286</v>
      </c>
      <c r="F82" s="696">
        <v>32550</v>
      </c>
      <c r="G82" s="696">
        <v>43000</v>
      </c>
      <c r="H82" s="696">
        <v>52100</v>
      </c>
      <c r="I82" s="696">
        <v>68750</v>
      </c>
      <c r="J82" s="814">
        <v>36400</v>
      </c>
      <c r="K82" s="696">
        <v>48050</v>
      </c>
      <c r="L82" s="696">
        <v>58250</v>
      </c>
      <c r="M82" s="696">
        <v>76900</v>
      </c>
      <c r="N82" s="814">
        <v>38550</v>
      </c>
      <c r="O82" s="696">
        <v>50900</v>
      </c>
      <c r="P82" s="696">
        <v>61700</v>
      </c>
      <c r="Q82" s="696">
        <v>81450</v>
      </c>
      <c r="R82" s="814">
        <v>41350</v>
      </c>
      <c r="S82" s="696">
        <v>54600</v>
      </c>
      <c r="T82" s="696">
        <v>66150</v>
      </c>
      <c r="U82" s="696">
        <v>87350</v>
      </c>
      <c r="V82" s="843">
        <v>42050</v>
      </c>
      <c r="W82" s="844">
        <v>55550</v>
      </c>
      <c r="X82" s="844">
        <v>67300</v>
      </c>
      <c r="Y82" s="844">
        <v>88850</v>
      </c>
    </row>
    <row r="83" spans="5:25" ht="15" x14ac:dyDescent="0.25">
      <c r="E83" s="697" t="s">
        <v>287</v>
      </c>
      <c r="F83" s="696">
        <v>32600</v>
      </c>
      <c r="G83" s="696">
        <v>43050</v>
      </c>
      <c r="H83" s="696">
        <v>52150</v>
      </c>
      <c r="I83" s="696">
        <v>68850</v>
      </c>
      <c r="J83" s="814">
        <v>36450</v>
      </c>
      <c r="K83" s="696">
        <v>48150</v>
      </c>
      <c r="L83" s="696">
        <v>58300</v>
      </c>
      <c r="M83" s="696">
        <v>76950</v>
      </c>
      <c r="N83" s="814">
        <v>38600</v>
      </c>
      <c r="O83" s="696">
        <v>51000</v>
      </c>
      <c r="P83" s="696">
        <v>61750</v>
      </c>
      <c r="Q83" s="696">
        <v>81500</v>
      </c>
      <c r="R83" s="814">
        <v>42000</v>
      </c>
      <c r="S83" s="696">
        <v>55450</v>
      </c>
      <c r="T83" s="696">
        <v>67200</v>
      </c>
      <c r="U83" s="696">
        <v>88750</v>
      </c>
      <c r="V83" s="843">
        <v>42550</v>
      </c>
      <c r="W83" s="844">
        <v>56200</v>
      </c>
      <c r="X83" s="844">
        <v>68100</v>
      </c>
      <c r="Y83" s="844">
        <v>89900</v>
      </c>
    </row>
    <row r="84" spans="5:25" ht="15" x14ac:dyDescent="0.25">
      <c r="E84" s="697" t="s">
        <v>288</v>
      </c>
      <c r="F84" s="696">
        <v>32550</v>
      </c>
      <c r="G84" s="696">
        <v>43000</v>
      </c>
      <c r="H84" s="696">
        <v>52100</v>
      </c>
      <c r="I84" s="696">
        <v>68750</v>
      </c>
      <c r="J84" s="814">
        <v>36400</v>
      </c>
      <c r="K84" s="696">
        <v>48050</v>
      </c>
      <c r="L84" s="696">
        <v>58250</v>
      </c>
      <c r="M84" s="696">
        <v>76900</v>
      </c>
      <c r="N84" s="814">
        <v>38550</v>
      </c>
      <c r="O84" s="696">
        <v>50900</v>
      </c>
      <c r="P84" s="696">
        <v>61700</v>
      </c>
      <c r="Q84" s="696">
        <v>81450</v>
      </c>
      <c r="R84" s="814">
        <v>41350</v>
      </c>
      <c r="S84" s="696">
        <v>54600</v>
      </c>
      <c r="T84" s="696">
        <v>66150</v>
      </c>
      <c r="U84" s="696">
        <v>87350</v>
      </c>
      <c r="V84" s="843">
        <v>45150</v>
      </c>
      <c r="W84" s="844">
        <v>59600</v>
      </c>
      <c r="X84" s="844">
        <v>72250</v>
      </c>
      <c r="Y84" s="844">
        <v>95400</v>
      </c>
    </row>
    <row r="85" spans="5:25" ht="15" x14ac:dyDescent="0.25">
      <c r="E85" s="697" t="s">
        <v>289</v>
      </c>
      <c r="F85" s="696">
        <v>35550</v>
      </c>
      <c r="G85" s="696">
        <v>46950</v>
      </c>
      <c r="H85" s="696">
        <v>56900</v>
      </c>
      <c r="I85" s="696">
        <v>75100</v>
      </c>
      <c r="J85" s="814">
        <v>36700</v>
      </c>
      <c r="K85" s="696">
        <v>48450</v>
      </c>
      <c r="L85" s="696">
        <v>58700</v>
      </c>
      <c r="M85" s="696">
        <v>77500</v>
      </c>
      <c r="N85" s="814">
        <v>38850</v>
      </c>
      <c r="O85" s="696">
        <v>51300</v>
      </c>
      <c r="P85" s="696">
        <v>62150</v>
      </c>
      <c r="Q85" s="696">
        <v>82050</v>
      </c>
      <c r="R85" s="814">
        <v>41350</v>
      </c>
      <c r="S85" s="696">
        <v>54600</v>
      </c>
      <c r="T85" s="696">
        <v>66150</v>
      </c>
      <c r="U85" s="696">
        <v>87350</v>
      </c>
      <c r="V85" s="843">
        <v>42050</v>
      </c>
      <c r="W85" s="844">
        <v>55550</v>
      </c>
      <c r="X85" s="844">
        <v>67300</v>
      </c>
      <c r="Y85" s="844">
        <v>88850</v>
      </c>
    </row>
    <row r="86" spans="5:25" ht="15" x14ac:dyDescent="0.25">
      <c r="E86" s="697" t="s">
        <v>290</v>
      </c>
      <c r="F86" s="696">
        <v>33850</v>
      </c>
      <c r="G86" s="696">
        <v>44700</v>
      </c>
      <c r="H86" s="696">
        <v>54150</v>
      </c>
      <c r="I86" s="696">
        <v>71500</v>
      </c>
      <c r="J86" s="814">
        <v>37550</v>
      </c>
      <c r="K86" s="696">
        <v>49600</v>
      </c>
      <c r="L86" s="696">
        <v>60100</v>
      </c>
      <c r="M86" s="696">
        <v>79350</v>
      </c>
      <c r="N86" s="814">
        <v>39750</v>
      </c>
      <c r="O86" s="696">
        <v>52500</v>
      </c>
      <c r="P86" s="696">
        <v>63600</v>
      </c>
      <c r="Q86" s="696">
        <v>83950</v>
      </c>
      <c r="R86" s="814">
        <v>41350</v>
      </c>
      <c r="S86" s="696">
        <v>54600</v>
      </c>
      <c r="T86" s="696">
        <v>66150</v>
      </c>
      <c r="U86" s="696">
        <v>87350</v>
      </c>
      <c r="V86" s="843">
        <v>42050</v>
      </c>
      <c r="W86" s="844">
        <v>55550</v>
      </c>
      <c r="X86" s="844">
        <v>67300</v>
      </c>
      <c r="Y86" s="844">
        <v>88850</v>
      </c>
    </row>
    <row r="87" spans="5:25" ht="15" x14ac:dyDescent="0.25">
      <c r="E87" s="697" t="s">
        <v>291</v>
      </c>
      <c r="F87" s="696">
        <v>32550</v>
      </c>
      <c r="G87" s="696">
        <v>43000</v>
      </c>
      <c r="H87" s="696">
        <v>52100</v>
      </c>
      <c r="I87" s="696">
        <v>68750</v>
      </c>
      <c r="J87" s="814">
        <v>36400</v>
      </c>
      <c r="K87" s="696">
        <v>48050</v>
      </c>
      <c r="L87" s="696">
        <v>58250</v>
      </c>
      <c r="M87" s="696">
        <v>76900</v>
      </c>
      <c r="N87" s="814">
        <v>38550</v>
      </c>
      <c r="O87" s="696">
        <v>50900</v>
      </c>
      <c r="P87" s="696">
        <v>61700</v>
      </c>
      <c r="Q87" s="696">
        <v>81450</v>
      </c>
      <c r="R87" s="814">
        <v>41350</v>
      </c>
      <c r="S87" s="696">
        <v>54600</v>
      </c>
      <c r="T87" s="696">
        <v>66150</v>
      </c>
      <c r="U87" s="696">
        <v>87350</v>
      </c>
      <c r="V87" s="843">
        <v>45150</v>
      </c>
      <c r="W87" s="844">
        <v>59600</v>
      </c>
      <c r="X87" s="844">
        <v>72250</v>
      </c>
      <c r="Y87" s="844">
        <v>95400</v>
      </c>
    </row>
    <row r="88" spans="5:25" ht="15" x14ac:dyDescent="0.25">
      <c r="E88" s="697" t="s">
        <v>292</v>
      </c>
      <c r="F88" s="696">
        <v>32550</v>
      </c>
      <c r="G88" s="696">
        <v>43000</v>
      </c>
      <c r="H88" s="696">
        <v>52100</v>
      </c>
      <c r="I88" s="696">
        <v>68750</v>
      </c>
      <c r="J88" s="814">
        <v>36400</v>
      </c>
      <c r="K88" s="696">
        <v>48050</v>
      </c>
      <c r="L88" s="696">
        <v>58250</v>
      </c>
      <c r="M88" s="696">
        <v>76900</v>
      </c>
      <c r="N88" s="814">
        <v>38550</v>
      </c>
      <c r="O88" s="696">
        <v>50900</v>
      </c>
      <c r="P88" s="696">
        <v>61700</v>
      </c>
      <c r="Q88" s="696">
        <v>81450</v>
      </c>
      <c r="R88" s="814">
        <v>41350</v>
      </c>
      <c r="S88" s="696">
        <v>54600</v>
      </c>
      <c r="T88" s="696">
        <v>66150</v>
      </c>
      <c r="U88" s="696">
        <v>87350</v>
      </c>
      <c r="V88" s="843">
        <v>42050</v>
      </c>
      <c r="W88" s="844">
        <v>55550</v>
      </c>
      <c r="X88" s="844">
        <v>67300</v>
      </c>
      <c r="Y88" s="844">
        <v>88850</v>
      </c>
    </row>
    <row r="89" spans="5:25" ht="15" x14ac:dyDescent="0.25">
      <c r="E89" s="697" t="s">
        <v>293</v>
      </c>
      <c r="F89" s="696">
        <v>37900</v>
      </c>
      <c r="G89" s="696">
        <v>50050</v>
      </c>
      <c r="H89" s="696">
        <v>60650</v>
      </c>
      <c r="I89" s="696">
        <v>80050</v>
      </c>
      <c r="J89" s="814">
        <v>42400</v>
      </c>
      <c r="K89" s="696">
        <v>56000</v>
      </c>
      <c r="L89" s="696">
        <v>67850</v>
      </c>
      <c r="M89" s="696">
        <v>89550</v>
      </c>
      <c r="N89" s="814">
        <v>42550</v>
      </c>
      <c r="O89" s="696">
        <v>56200</v>
      </c>
      <c r="P89" s="696">
        <v>68100</v>
      </c>
      <c r="Q89" s="696">
        <v>89900</v>
      </c>
      <c r="R89" s="814">
        <v>45750</v>
      </c>
      <c r="S89" s="696">
        <v>60400</v>
      </c>
      <c r="T89" s="696">
        <v>73200</v>
      </c>
      <c r="U89" s="696">
        <v>96650</v>
      </c>
      <c r="V89" s="843">
        <v>46900</v>
      </c>
      <c r="W89" s="844">
        <v>61950</v>
      </c>
      <c r="X89" s="844">
        <v>75050</v>
      </c>
      <c r="Y89" s="844">
        <v>99100</v>
      </c>
    </row>
    <row r="90" spans="5:25" ht="15" x14ac:dyDescent="0.25">
      <c r="E90" s="697" t="s">
        <v>294</v>
      </c>
      <c r="F90" s="696">
        <v>32850</v>
      </c>
      <c r="G90" s="696">
        <v>43400</v>
      </c>
      <c r="H90" s="696">
        <v>52550</v>
      </c>
      <c r="I90" s="696">
        <v>69350</v>
      </c>
      <c r="J90" s="814">
        <v>36400</v>
      </c>
      <c r="K90" s="696">
        <v>48050</v>
      </c>
      <c r="L90" s="696">
        <v>58250</v>
      </c>
      <c r="M90" s="696">
        <v>76900</v>
      </c>
      <c r="N90" s="814">
        <v>38550</v>
      </c>
      <c r="O90" s="696">
        <v>50900</v>
      </c>
      <c r="P90" s="696">
        <v>61700</v>
      </c>
      <c r="Q90" s="696">
        <v>81450</v>
      </c>
      <c r="R90" s="814">
        <v>41350</v>
      </c>
      <c r="S90" s="696">
        <v>54600</v>
      </c>
      <c r="T90" s="696">
        <v>66150</v>
      </c>
      <c r="U90" s="696">
        <v>87350</v>
      </c>
      <c r="V90" s="843">
        <v>42050</v>
      </c>
      <c r="W90" s="844">
        <v>55550</v>
      </c>
      <c r="X90" s="844">
        <v>67300</v>
      </c>
      <c r="Y90" s="844">
        <v>88850</v>
      </c>
    </row>
    <row r="91" spans="5:25" ht="15" x14ac:dyDescent="0.25">
      <c r="E91" s="697" t="s">
        <v>295</v>
      </c>
      <c r="F91" s="696">
        <v>32550</v>
      </c>
      <c r="G91" s="696">
        <v>43000</v>
      </c>
      <c r="H91" s="696">
        <v>52100</v>
      </c>
      <c r="I91" s="696">
        <v>68750</v>
      </c>
      <c r="J91" s="814">
        <v>36400</v>
      </c>
      <c r="K91" s="696">
        <v>48050</v>
      </c>
      <c r="L91" s="696">
        <v>58250</v>
      </c>
      <c r="M91" s="696">
        <v>76900</v>
      </c>
      <c r="N91" s="814">
        <v>38550</v>
      </c>
      <c r="O91" s="696">
        <v>50900</v>
      </c>
      <c r="P91" s="696">
        <v>61700</v>
      </c>
      <c r="Q91" s="696">
        <v>81450</v>
      </c>
      <c r="R91" s="814">
        <v>41350</v>
      </c>
      <c r="S91" s="696">
        <v>54600</v>
      </c>
      <c r="T91" s="696">
        <v>66150</v>
      </c>
      <c r="U91" s="696">
        <v>87350</v>
      </c>
      <c r="V91" s="843">
        <v>42050</v>
      </c>
      <c r="W91" s="844">
        <v>55550</v>
      </c>
      <c r="X91" s="844">
        <v>67300</v>
      </c>
      <c r="Y91" s="844">
        <v>88850</v>
      </c>
    </row>
    <row r="92" spans="5:25" ht="15" x14ac:dyDescent="0.25">
      <c r="E92" s="697" t="s">
        <v>296</v>
      </c>
      <c r="F92" s="696">
        <v>32550</v>
      </c>
      <c r="G92" s="696">
        <v>43000</v>
      </c>
      <c r="H92" s="696">
        <v>52100</v>
      </c>
      <c r="I92" s="696">
        <v>68750</v>
      </c>
      <c r="J92" s="814">
        <v>36400</v>
      </c>
      <c r="K92" s="696">
        <v>48050</v>
      </c>
      <c r="L92" s="696">
        <v>58250</v>
      </c>
      <c r="M92" s="696">
        <v>76900</v>
      </c>
      <c r="N92" s="814">
        <v>38550</v>
      </c>
      <c r="O92" s="696">
        <v>50900</v>
      </c>
      <c r="P92" s="696">
        <v>61700</v>
      </c>
      <c r="Q92" s="696">
        <v>81450</v>
      </c>
      <c r="R92" s="814">
        <v>41350</v>
      </c>
      <c r="S92" s="696">
        <v>54600</v>
      </c>
      <c r="T92" s="696">
        <v>66150</v>
      </c>
      <c r="U92" s="696">
        <v>87350</v>
      </c>
      <c r="V92" s="843">
        <v>42050</v>
      </c>
      <c r="W92" s="844">
        <v>55550</v>
      </c>
      <c r="X92" s="844">
        <v>67300</v>
      </c>
      <c r="Y92" s="844">
        <v>88850</v>
      </c>
    </row>
    <row r="93" spans="5:25" ht="15" x14ac:dyDescent="0.25">
      <c r="E93" s="697" t="s">
        <v>297</v>
      </c>
      <c r="F93" s="696">
        <v>32700</v>
      </c>
      <c r="G93" s="696">
        <v>43200</v>
      </c>
      <c r="H93" s="696">
        <v>52300</v>
      </c>
      <c r="I93" s="696">
        <v>69050</v>
      </c>
      <c r="J93" s="814">
        <v>36550</v>
      </c>
      <c r="K93" s="696">
        <v>48250</v>
      </c>
      <c r="L93" s="696">
        <v>58500</v>
      </c>
      <c r="M93" s="696">
        <v>77200</v>
      </c>
      <c r="N93" s="814">
        <v>38700</v>
      </c>
      <c r="O93" s="696">
        <v>51100</v>
      </c>
      <c r="P93" s="696">
        <v>61900</v>
      </c>
      <c r="Q93" s="696">
        <v>81700</v>
      </c>
      <c r="R93" s="814">
        <v>41350</v>
      </c>
      <c r="S93" s="696">
        <v>54600</v>
      </c>
      <c r="T93" s="696">
        <v>66150</v>
      </c>
      <c r="U93" s="696">
        <v>87350</v>
      </c>
      <c r="V93" s="843">
        <v>42050</v>
      </c>
      <c r="W93" s="844">
        <v>55550</v>
      </c>
      <c r="X93" s="844">
        <v>67300</v>
      </c>
      <c r="Y93" s="844">
        <v>88850</v>
      </c>
    </row>
    <row r="94" spans="5:25" ht="15" x14ac:dyDescent="0.25">
      <c r="E94" s="697" t="s">
        <v>298</v>
      </c>
      <c r="F94" s="696">
        <v>33900</v>
      </c>
      <c r="G94" s="696">
        <v>44750</v>
      </c>
      <c r="H94" s="696">
        <v>54250</v>
      </c>
      <c r="I94" s="696">
        <v>71600</v>
      </c>
      <c r="J94" s="814">
        <v>36700</v>
      </c>
      <c r="K94" s="696">
        <v>48450</v>
      </c>
      <c r="L94" s="696">
        <v>58700</v>
      </c>
      <c r="M94" s="696">
        <v>77500</v>
      </c>
      <c r="N94" s="814">
        <v>38850</v>
      </c>
      <c r="O94" s="696">
        <v>51300</v>
      </c>
      <c r="P94" s="696">
        <v>62150</v>
      </c>
      <c r="Q94" s="696">
        <v>82050</v>
      </c>
      <c r="R94" s="814">
        <v>41350</v>
      </c>
      <c r="S94" s="696">
        <v>54600</v>
      </c>
      <c r="T94" s="696">
        <v>66150</v>
      </c>
      <c r="U94" s="696">
        <v>87350</v>
      </c>
      <c r="V94" s="843">
        <v>42550</v>
      </c>
      <c r="W94" s="844">
        <v>56200</v>
      </c>
      <c r="X94" s="844">
        <v>68100</v>
      </c>
      <c r="Y94" s="844">
        <v>89900</v>
      </c>
    </row>
    <row r="95" spans="5:25" ht="15" x14ac:dyDescent="0.25">
      <c r="E95" s="697" t="s">
        <v>299</v>
      </c>
      <c r="F95" s="696">
        <v>34850</v>
      </c>
      <c r="G95" s="696">
        <v>46050</v>
      </c>
      <c r="H95" s="696">
        <v>55750</v>
      </c>
      <c r="I95" s="696">
        <v>73600</v>
      </c>
      <c r="J95" s="814">
        <v>37800</v>
      </c>
      <c r="K95" s="696">
        <v>49900</v>
      </c>
      <c r="L95" s="696">
        <v>60500</v>
      </c>
      <c r="M95" s="696">
        <v>79850</v>
      </c>
      <c r="N95" s="814">
        <v>39950</v>
      </c>
      <c r="O95" s="696">
        <v>52750</v>
      </c>
      <c r="P95" s="696">
        <v>63900</v>
      </c>
      <c r="Q95" s="696">
        <v>84350</v>
      </c>
      <c r="R95" s="814">
        <v>41350</v>
      </c>
      <c r="S95" s="696">
        <v>54600</v>
      </c>
      <c r="T95" s="696">
        <v>66150</v>
      </c>
      <c r="U95" s="696">
        <v>87350</v>
      </c>
      <c r="V95" s="843">
        <v>42050</v>
      </c>
      <c r="W95" s="844">
        <v>55550</v>
      </c>
      <c r="X95" s="844">
        <v>67300</v>
      </c>
      <c r="Y95" s="844">
        <v>88850</v>
      </c>
    </row>
    <row r="96" spans="5:25" ht="15" x14ac:dyDescent="0.25">
      <c r="E96" s="697" t="s">
        <v>300</v>
      </c>
      <c r="F96" s="696">
        <v>32550</v>
      </c>
      <c r="G96" s="696">
        <v>43000</v>
      </c>
      <c r="H96" s="696">
        <v>52100</v>
      </c>
      <c r="I96" s="696">
        <v>68750</v>
      </c>
      <c r="J96" s="814">
        <v>36400</v>
      </c>
      <c r="K96" s="696">
        <v>48050</v>
      </c>
      <c r="L96" s="696">
        <v>58250</v>
      </c>
      <c r="M96" s="696">
        <v>76900</v>
      </c>
      <c r="N96" s="814">
        <v>38550</v>
      </c>
      <c r="O96" s="696">
        <v>50900</v>
      </c>
      <c r="P96" s="696">
        <v>61700</v>
      </c>
      <c r="Q96" s="696">
        <v>81450</v>
      </c>
      <c r="R96" s="814">
        <v>41350</v>
      </c>
      <c r="S96" s="696">
        <v>54600</v>
      </c>
      <c r="T96" s="696">
        <v>66150</v>
      </c>
      <c r="U96" s="696">
        <v>87350</v>
      </c>
      <c r="V96" s="843">
        <v>42050</v>
      </c>
      <c r="W96" s="844">
        <v>55550</v>
      </c>
      <c r="X96" s="844">
        <v>67300</v>
      </c>
      <c r="Y96" s="844">
        <v>88850</v>
      </c>
    </row>
    <row r="97" spans="5:25" ht="15" x14ac:dyDescent="0.25">
      <c r="E97" s="697" t="s">
        <v>301</v>
      </c>
      <c r="F97" s="696">
        <v>39200</v>
      </c>
      <c r="G97" s="696">
        <v>51750</v>
      </c>
      <c r="H97" s="696">
        <v>62700</v>
      </c>
      <c r="I97" s="696">
        <v>82750</v>
      </c>
      <c r="J97" s="814">
        <v>42400</v>
      </c>
      <c r="K97" s="696">
        <v>56000</v>
      </c>
      <c r="L97" s="696">
        <v>67850</v>
      </c>
      <c r="M97" s="696">
        <v>89550</v>
      </c>
      <c r="N97" s="814">
        <v>44900</v>
      </c>
      <c r="O97" s="696">
        <v>59300</v>
      </c>
      <c r="P97" s="696">
        <v>71850</v>
      </c>
      <c r="Q97" s="696">
        <v>94850</v>
      </c>
      <c r="R97" s="814">
        <v>45200</v>
      </c>
      <c r="S97" s="696">
        <v>59700</v>
      </c>
      <c r="T97" s="696">
        <v>72300</v>
      </c>
      <c r="U97" s="696">
        <v>95450</v>
      </c>
      <c r="V97" s="843">
        <v>46350</v>
      </c>
      <c r="W97" s="844">
        <v>61200</v>
      </c>
      <c r="X97" s="844">
        <v>74150</v>
      </c>
      <c r="Y97" s="844">
        <v>97900</v>
      </c>
    </row>
    <row r="98" spans="5:25" ht="15" x14ac:dyDescent="0.25">
      <c r="E98" s="697" t="s">
        <v>302</v>
      </c>
      <c r="F98" s="696">
        <v>34650</v>
      </c>
      <c r="G98" s="696">
        <v>45750</v>
      </c>
      <c r="H98" s="696">
        <v>55450</v>
      </c>
      <c r="I98" s="696">
        <v>73200</v>
      </c>
      <c r="J98" s="814">
        <v>38750</v>
      </c>
      <c r="K98" s="696">
        <v>51150</v>
      </c>
      <c r="L98" s="696">
        <v>62000</v>
      </c>
      <c r="M98" s="696">
        <v>81850</v>
      </c>
      <c r="N98" s="814">
        <v>41000</v>
      </c>
      <c r="O98" s="696">
        <v>54150</v>
      </c>
      <c r="P98" s="696">
        <v>65600</v>
      </c>
      <c r="Q98" s="696">
        <v>86600</v>
      </c>
      <c r="R98" s="814">
        <v>44900</v>
      </c>
      <c r="S98" s="696">
        <v>59300</v>
      </c>
      <c r="T98" s="696">
        <v>71850</v>
      </c>
      <c r="U98" s="696">
        <v>94850</v>
      </c>
      <c r="V98" s="843">
        <v>44900</v>
      </c>
      <c r="W98" s="844">
        <v>59300</v>
      </c>
      <c r="X98" s="844">
        <v>71850</v>
      </c>
      <c r="Y98" s="844">
        <v>94850</v>
      </c>
    </row>
    <row r="99" spans="5:25" ht="15" x14ac:dyDescent="0.25">
      <c r="E99" s="697" t="s">
        <v>303</v>
      </c>
      <c r="F99" s="696">
        <v>32550</v>
      </c>
      <c r="G99" s="696">
        <v>43000</v>
      </c>
      <c r="H99" s="696">
        <v>52100</v>
      </c>
      <c r="I99" s="696">
        <v>68750</v>
      </c>
      <c r="J99" s="814">
        <v>36400</v>
      </c>
      <c r="K99" s="696">
        <v>48050</v>
      </c>
      <c r="L99" s="696">
        <v>58250</v>
      </c>
      <c r="M99" s="696">
        <v>76900</v>
      </c>
      <c r="N99" s="814">
        <v>38550</v>
      </c>
      <c r="O99" s="696">
        <v>50900</v>
      </c>
      <c r="P99" s="696">
        <v>61700</v>
      </c>
      <c r="Q99" s="696">
        <v>81450</v>
      </c>
      <c r="R99" s="814">
        <v>41350</v>
      </c>
      <c r="S99" s="696">
        <v>54600</v>
      </c>
      <c r="T99" s="696">
        <v>66150</v>
      </c>
      <c r="U99" s="696">
        <v>87350</v>
      </c>
      <c r="V99" s="843">
        <v>42050</v>
      </c>
      <c r="W99" s="844">
        <v>55550</v>
      </c>
      <c r="X99" s="844">
        <v>67300</v>
      </c>
      <c r="Y99" s="844">
        <v>88850</v>
      </c>
    </row>
    <row r="100" spans="5:25" ht="15" x14ac:dyDescent="0.25">
      <c r="E100" s="697" t="s">
        <v>304</v>
      </c>
      <c r="F100" s="696">
        <v>32550</v>
      </c>
      <c r="G100" s="696">
        <v>43000</v>
      </c>
      <c r="H100" s="696">
        <v>52100</v>
      </c>
      <c r="I100" s="696">
        <v>68750</v>
      </c>
      <c r="J100" s="814">
        <v>36400</v>
      </c>
      <c r="K100" s="696">
        <v>48050</v>
      </c>
      <c r="L100" s="696">
        <v>58250</v>
      </c>
      <c r="M100" s="696">
        <v>76900</v>
      </c>
      <c r="N100" s="814">
        <v>38550</v>
      </c>
      <c r="O100" s="696">
        <v>50900</v>
      </c>
      <c r="P100" s="696">
        <v>61700</v>
      </c>
      <c r="Q100" s="696">
        <v>81450</v>
      </c>
      <c r="R100" s="814">
        <v>41350</v>
      </c>
      <c r="S100" s="696">
        <v>54600</v>
      </c>
      <c r="T100" s="696">
        <v>66150</v>
      </c>
      <c r="U100" s="696">
        <v>87350</v>
      </c>
      <c r="V100" s="843">
        <v>42050</v>
      </c>
      <c r="W100" s="844">
        <v>55550</v>
      </c>
      <c r="X100" s="844">
        <v>67300</v>
      </c>
      <c r="Y100" s="844">
        <v>88850</v>
      </c>
    </row>
    <row r="101" spans="5:25" ht="15" x14ac:dyDescent="0.25">
      <c r="E101" s="697" t="s">
        <v>305</v>
      </c>
      <c r="F101" s="696">
        <v>32700</v>
      </c>
      <c r="G101" s="696">
        <v>43200</v>
      </c>
      <c r="H101" s="696">
        <v>52300</v>
      </c>
      <c r="I101" s="696">
        <v>69050</v>
      </c>
      <c r="J101" s="814">
        <v>36550</v>
      </c>
      <c r="K101" s="696">
        <v>48250</v>
      </c>
      <c r="L101" s="696">
        <v>58500</v>
      </c>
      <c r="M101" s="696">
        <v>77200</v>
      </c>
      <c r="N101" s="814">
        <v>38700</v>
      </c>
      <c r="O101" s="696">
        <v>51100</v>
      </c>
      <c r="P101" s="696">
        <v>61900</v>
      </c>
      <c r="Q101" s="696">
        <v>81700</v>
      </c>
      <c r="R101" s="814">
        <v>41350</v>
      </c>
      <c r="S101" s="696">
        <v>54600</v>
      </c>
      <c r="T101" s="696">
        <v>66150</v>
      </c>
      <c r="U101" s="696">
        <v>87350</v>
      </c>
      <c r="V101" s="843">
        <v>42050</v>
      </c>
      <c r="W101" s="844">
        <v>55550</v>
      </c>
      <c r="X101" s="844">
        <v>67300</v>
      </c>
      <c r="Y101" s="844">
        <v>88850</v>
      </c>
    </row>
    <row r="102" spans="5:25" ht="15" x14ac:dyDescent="0.25">
      <c r="E102" s="697" t="s">
        <v>306</v>
      </c>
      <c r="F102" s="696">
        <v>32550</v>
      </c>
      <c r="G102" s="696">
        <v>43000</v>
      </c>
      <c r="H102" s="696">
        <v>52100</v>
      </c>
      <c r="I102" s="696">
        <v>68750</v>
      </c>
      <c r="J102" s="814">
        <v>36400</v>
      </c>
      <c r="K102" s="696">
        <v>48050</v>
      </c>
      <c r="L102" s="696">
        <v>58250</v>
      </c>
      <c r="M102" s="696">
        <v>76900</v>
      </c>
      <c r="N102" s="814">
        <v>38550</v>
      </c>
      <c r="O102" s="696">
        <v>50900</v>
      </c>
      <c r="P102" s="696">
        <v>61700</v>
      </c>
      <c r="Q102" s="696">
        <v>81450</v>
      </c>
      <c r="R102" s="814">
        <v>41600</v>
      </c>
      <c r="S102" s="696">
        <v>54950</v>
      </c>
      <c r="T102" s="696">
        <v>66550</v>
      </c>
      <c r="U102" s="696">
        <v>87850</v>
      </c>
      <c r="V102" s="843">
        <v>44250</v>
      </c>
      <c r="W102" s="844">
        <v>58450</v>
      </c>
      <c r="X102" s="844">
        <v>70800</v>
      </c>
      <c r="Y102" s="844">
        <v>93500</v>
      </c>
    </row>
    <row r="103" spans="5:25" ht="15" x14ac:dyDescent="0.25">
      <c r="E103" s="697" t="s">
        <v>307</v>
      </c>
      <c r="F103" s="696">
        <v>33350</v>
      </c>
      <c r="G103" s="696">
        <v>44050</v>
      </c>
      <c r="H103" s="696">
        <v>53350</v>
      </c>
      <c r="I103" s="696">
        <v>70400</v>
      </c>
      <c r="J103" s="814">
        <v>36500</v>
      </c>
      <c r="K103" s="696">
        <v>48200</v>
      </c>
      <c r="L103" s="696">
        <v>58400</v>
      </c>
      <c r="M103" s="696">
        <v>77100</v>
      </c>
      <c r="N103" s="814">
        <v>38650</v>
      </c>
      <c r="O103" s="696">
        <v>51050</v>
      </c>
      <c r="P103" s="696">
        <v>61850</v>
      </c>
      <c r="Q103" s="696">
        <v>81650</v>
      </c>
      <c r="R103" s="814">
        <v>40750</v>
      </c>
      <c r="S103" s="696">
        <v>53800</v>
      </c>
      <c r="T103" s="696">
        <v>65200</v>
      </c>
      <c r="U103" s="696">
        <v>86100</v>
      </c>
      <c r="V103" s="843">
        <v>41700</v>
      </c>
      <c r="W103" s="844">
        <v>55050</v>
      </c>
      <c r="X103" s="844">
        <v>66700</v>
      </c>
      <c r="Y103" s="844">
        <v>88050</v>
      </c>
    </row>
    <row r="104" spans="5:25" ht="15" x14ac:dyDescent="0.25">
      <c r="E104" s="697" t="s">
        <v>308</v>
      </c>
      <c r="F104" s="696">
        <v>44200</v>
      </c>
      <c r="G104" s="696">
        <v>58350</v>
      </c>
      <c r="H104" s="696">
        <v>70700</v>
      </c>
      <c r="I104" s="696">
        <v>93300</v>
      </c>
      <c r="J104" s="814">
        <v>47250</v>
      </c>
      <c r="K104" s="696">
        <v>62400</v>
      </c>
      <c r="L104" s="696">
        <v>75600</v>
      </c>
      <c r="M104" s="696">
        <v>99800</v>
      </c>
      <c r="N104" s="814">
        <v>47300</v>
      </c>
      <c r="O104" s="696">
        <v>62450</v>
      </c>
      <c r="P104" s="696">
        <v>75700</v>
      </c>
      <c r="Q104" s="696">
        <v>99900</v>
      </c>
      <c r="R104" s="814">
        <v>51000</v>
      </c>
      <c r="S104" s="696">
        <v>67350</v>
      </c>
      <c r="T104" s="696">
        <v>81600</v>
      </c>
      <c r="U104" s="696">
        <v>107750</v>
      </c>
      <c r="V104" s="843">
        <v>51750</v>
      </c>
      <c r="W104" s="844">
        <v>68350</v>
      </c>
      <c r="X104" s="844">
        <v>82800</v>
      </c>
      <c r="Y104" s="844">
        <v>109300</v>
      </c>
    </row>
    <row r="105" spans="5:25" ht="15" x14ac:dyDescent="0.25">
      <c r="E105" s="697" t="s">
        <v>309</v>
      </c>
      <c r="F105" s="696">
        <v>32550</v>
      </c>
      <c r="G105" s="696">
        <v>43000</v>
      </c>
      <c r="H105" s="696">
        <v>52100</v>
      </c>
      <c r="I105" s="696">
        <v>68750</v>
      </c>
      <c r="J105" s="814">
        <v>36400</v>
      </c>
      <c r="K105" s="696">
        <v>48050</v>
      </c>
      <c r="L105" s="696">
        <v>58250</v>
      </c>
      <c r="M105" s="696">
        <v>76900</v>
      </c>
      <c r="N105" s="814">
        <v>38550</v>
      </c>
      <c r="O105" s="696">
        <v>50900</v>
      </c>
      <c r="P105" s="696">
        <v>61700</v>
      </c>
      <c r="Q105" s="696">
        <v>81450</v>
      </c>
      <c r="R105" s="814">
        <v>41350</v>
      </c>
      <c r="S105" s="696">
        <v>54600</v>
      </c>
      <c r="T105" s="696">
        <v>66150</v>
      </c>
      <c r="U105" s="696">
        <v>87350</v>
      </c>
      <c r="V105" s="843">
        <v>42350</v>
      </c>
      <c r="W105" s="844">
        <v>55950</v>
      </c>
      <c r="X105" s="844">
        <v>67750</v>
      </c>
      <c r="Y105" s="844">
        <v>89450</v>
      </c>
    </row>
    <row r="106" spans="5:25" ht="15" x14ac:dyDescent="0.25">
      <c r="E106" s="697" t="s">
        <v>310</v>
      </c>
      <c r="F106" s="696">
        <v>32550</v>
      </c>
      <c r="G106" s="696">
        <v>43000</v>
      </c>
      <c r="H106" s="696">
        <v>52100</v>
      </c>
      <c r="I106" s="696">
        <v>68750</v>
      </c>
      <c r="J106" s="814">
        <v>36400</v>
      </c>
      <c r="K106" s="696">
        <v>48050</v>
      </c>
      <c r="L106" s="696">
        <v>58250</v>
      </c>
      <c r="M106" s="696">
        <v>76900</v>
      </c>
      <c r="N106" s="814">
        <v>38550</v>
      </c>
      <c r="O106" s="696">
        <v>50900</v>
      </c>
      <c r="P106" s="696">
        <v>61700</v>
      </c>
      <c r="Q106" s="696">
        <v>81450</v>
      </c>
      <c r="R106" s="814">
        <v>41350</v>
      </c>
      <c r="S106" s="696">
        <v>54600</v>
      </c>
      <c r="T106" s="696">
        <v>66150</v>
      </c>
      <c r="U106" s="696">
        <v>87350</v>
      </c>
      <c r="V106" s="843">
        <v>42050</v>
      </c>
      <c r="W106" s="844">
        <v>55550</v>
      </c>
      <c r="X106" s="844">
        <v>67300</v>
      </c>
      <c r="Y106" s="844">
        <v>88850</v>
      </c>
    </row>
    <row r="107" spans="5:25" ht="15" x14ac:dyDescent="0.25">
      <c r="E107" s="697" t="s">
        <v>311</v>
      </c>
      <c r="F107" s="696">
        <v>39950</v>
      </c>
      <c r="G107" s="696">
        <v>52750</v>
      </c>
      <c r="H107" s="696">
        <v>63900</v>
      </c>
      <c r="I107" s="696">
        <v>84350</v>
      </c>
      <c r="J107" s="814">
        <v>43500</v>
      </c>
      <c r="K107" s="696">
        <v>57450</v>
      </c>
      <c r="L107" s="696">
        <v>69600</v>
      </c>
      <c r="M107" s="696">
        <v>91850</v>
      </c>
      <c r="N107" s="814">
        <v>44200</v>
      </c>
      <c r="O107" s="696">
        <v>58350</v>
      </c>
      <c r="P107" s="696">
        <v>70700</v>
      </c>
      <c r="Q107" s="696">
        <v>93300</v>
      </c>
      <c r="R107" s="814">
        <v>45900</v>
      </c>
      <c r="S107" s="696">
        <v>60600</v>
      </c>
      <c r="T107" s="696">
        <v>73450</v>
      </c>
      <c r="U107" s="696">
        <v>97000</v>
      </c>
      <c r="V107" s="843">
        <v>47650</v>
      </c>
      <c r="W107" s="844">
        <v>62900</v>
      </c>
      <c r="X107" s="844">
        <v>76250</v>
      </c>
      <c r="Y107" s="844">
        <v>100650</v>
      </c>
    </row>
    <row r="108" spans="5:25" ht="15" x14ac:dyDescent="0.25">
      <c r="E108" s="697" t="s">
        <v>312</v>
      </c>
      <c r="F108" s="696">
        <v>35450</v>
      </c>
      <c r="G108" s="696">
        <v>46800</v>
      </c>
      <c r="H108" s="696">
        <v>56700</v>
      </c>
      <c r="I108" s="696">
        <v>74850</v>
      </c>
      <c r="J108" s="814">
        <v>39650</v>
      </c>
      <c r="K108" s="696">
        <v>52350</v>
      </c>
      <c r="L108" s="696">
        <v>63450</v>
      </c>
      <c r="M108" s="696">
        <v>83750</v>
      </c>
      <c r="N108" s="814">
        <v>41950</v>
      </c>
      <c r="O108" s="696">
        <v>55400</v>
      </c>
      <c r="P108" s="696">
        <v>67100</v>
      </c>
      <c r="Q108" s="696">
        <v>88550</v>
      </c>
      <c r="R108" s="814">
        <v>41950</v>
      </c>
      <c r="S108" s="696">
        <v>55400</v>
      </c>
      <c r="T108" s="696">
        <v>67100</v>
      </c>
      <c r="U108" s="696">
        <v>88600</v>
      </c>
      <c r="V108" s="843">
        <v>45700</v>
      </c>
      <c r="W108" s="844">
        <v>60350</v>
      </c>
      <c r="X108" s="844">
        <v>73100</v>
      </c>
      <c r="Y108" s="844">
        <v>96500</v>
      </c>
    </row>
    <row r="109" spans="5:25" ht="15" x14ac:dyDescent="0.25">
      <c r="E109" s="697" t="s">
        <v>313</v>
      </c>
      <c r="F109" s="696">
        <v>33300</v>
      </c>
      <c r="G109" s="696">
        <v>44000</v>
      </c>
      <c r="H109" s="696">
        <v>53300</v>
      </c>
      <c r="I109" s="696">
        <v>70350</v>
      </c>
      <c r="J109" s="814">
        <v>37250</v>
      </c>
      <c r="K109" s="696">
        <v>49200</v>
      </c>
      <c r="L109" s="696">
        <v>59600</v>
      </c>
      <c r="M109" s="696">
        <v>78650</v>
      </c>
      <c r="N109" s="814">
        <v>39450</v>
      </c>
      <c r="O109" s="696">
        <v>52100</v>
      </c>
      <c r="P109" s="696">
        <v>63100</v>
      </c>
      <c r="Q109" s="696">
        <v>83300</v>
      </c>
      <c r="R109" s="814">
        <v>43350</v>
      </c>
      <c r="S109" s="696">
        <v>57250</v>
      </c>
      <c r="T109" s="696">
        <v>69350</v>
      </c>
      <c r="U109" s="696">
        <v>91550</v>
      </c>
      <c r="V109" s="843">
        <v>46700</v>
      </c>
      <c r="W109" s="844">
        <v>61650</v>
      </c>
      <c r="X109" s="844">
        <v>74700</v>
      </c>
      <c r="Y109" s="844">
        <v>98650</v>
      </c>
    </row>
    <row r="110" spans="5:25" ht="15" x14ac:dyDescent="0.25">
      <c r="E110" s="697" t="s">
        <v>314</v>
      </c>
      <c r="F110" s="696">
        <v>32550</v>
      </c>
      <c r="G110" s="696">
        <v>43000</v>
      </c>
      <c r="H110" s="696">
        <v>52100</v>
      </c>
      <c r="I110" s="696">
        <v>68750</v>
      </c>
      <c r="J110" s="814">
        <v>36400</v>
      </c>
      <c r="K110" s="696">
        <v>48050</v>
      </c>
      <c r="L110" s="696">
        <v>58250</v>
      </c>
      <c r="M110" s="696">
        <v>76900</v>
      </c>
      <c r="N110" s="814">
        <v>38550</v>
      </c>
      <c r="O110" s="696">
        <v>50900</v>
      </c>
      <c r="P110" s="696">
        <v>61700</v>
      </c>
      <c r="Q110" s="696">
        <v>81450</v>
      </c>
      <c r="R110" s="814">
        <v>41650</v>
      </c>
      <c r="S110" s="696">
        <v>55000</v>
      </c>
      <c r="T110" s="696">
        <v>66650</v>
      </c>
      <c r="U110" s="696">
        <v>88000</v>
      </c>
      <c r="V110" s="843">
        <v>43950</v>
      </c>
      <c r="W110" s="844">
        <v>58050</v>
      </c>
      <c r="X110" s="844">
        <v>70300</v>
      </c>
      <c r="Y110" s="844">
        <v>92800</v>
      </c>
    </row>
    <row r="111" spans="5:25" ht="15" x14ac:dyDescent="0.25">
      <c r="E111" s="697" t="s">
        <v>315</v>
      </c>
      <c r="F111" s="696">
        <v>35550</v>
      </c>
      <c r="G111" s="696">
        <v>46950</v>
      </c>
      <c r="H111" s="696">
        <v>56900</v>
      </c>
      <c r="I111" s="696">
        <v>75100</v>
      </c>
      <c r="J111" s="814">
        <v>37950</v>
      </c>
      <c r="K111" s="696">
        <v>50100</v>
      </c>
      <c r="L111" s="696">
        <v>60700</v>
      </c>
      <c r="M111" s="696">
        <v>80100</v>
      </c>
      <c r="N111" s="814">
        <v>40150</v>
      </c>
      <c r="O111" s="696">
        <v>53000</v>
      </c>
      <c r="P111" s="696">
        <v>64250</v>
      </c>
      <c r="Q111" s="696">
        <v>84800</v>
      </c>
      <c r="R111" s="814">
        <v>44150</v>
      </c>
      <c r="S111" s="696">
        <v>58300</v>
      </c>
      <c r="T111" s="696">
        <v>70650</v>
      </c>
      <c r="U111" s="696">
        <v>93300</v>
      </c>
      <c r="V111" s="843">
        <v>48100</v>
      </c>
      <c r="W111" s="844">
        <v>63500</v>
      </c>
      <c r="X111" s="844">
        <v>76950</v>
      </c>
      <c r="Y111" s="844">
        <v>101600</v>
      </c>
    </row>
    <row r="112" spans="5:25" ht="15" x14ac:dyDescent="0.25">
      <c r="E112" s="697" t="s">
        <v>316</v>
      </c>
      <c r="F112" s="696">
        <v>32550</v>
      </c>
      <c r="G112" s="696">
        <v>43000</v>
      </c>
      <c r="H112" s="696">
        <v>52100</v>
      </c>
      <c r="I112" s="696">
        <v>68750</v>
      </c>
      <c r="J112" s="814">
        <v>36400</v>
      </c>
      <c r="K112" s="696">
        <v>48050</v>
      </c>
      <c r="L112" s="696">
        <v>58250</v>
      </c>
      <c r="M112" s="696">
        <v>76900</v>
      </c>
      <c r="N112" s="814">
        <v>38550</v>
      </c>
      <c r="O112" s="696">
        <v>50900</v>
      </c>
      <c r="P112" s="696">
        <v>61700</v>
      </c>
      <c r="Q112" s="696">
        <v>81450</v>
      </c>
      <c r="R112" s="814">
        <v>41350</v>
      </c>
      <c r="S112" s="696">
        <v>54600</v>
      </c>
      <c r="T112" s="696">
        <v>66150</v>
      </c>
      <c r="U112" s="696">
        <v>87350</v>
      </c>
      <c r="V112" s="843">
        <v>42050</v>
      </c>
      <c r="W112" s="844">
        <v>55550</v>
      </c>
      <c r="X112" s="844">
        <v>67300</v>
      </c>
      <c r="Y112" s="844">
        <v>88850</v>
      </c>
    </row>
    <row r="113" spans="5:25" ht="15" x14ac:dyDescent="0.25">
      <c r="E113" s="697" t="s">
        <v>317</v>
      </c>
      <c r="F113" s="696">
        <v>32550</v>
      </c>
      <c r="G113" s="696">
        <v>43000</v>
      </c>
      <c r="H113" s="696">
        <v>52100</v>
      </c>
      <c r="I113" s="696">
        <v>68750</v>
      </c>
      <c r="J113" s="814">
        <v>36400</v>
      </c>
      <c r="K113" s="696">
        <v>48050</v>
      </c>
      <c r="L113" s="696">
        <v>58250</v>
      </c>
      <c r="M113" s="696">
        <v>76900</v>
      </c>
      <c r="N113" s="814">
        <v>38550</v>
      </c>
      <c r="O113" s="696">
        <v>50900</v>
      </c>
      <c r="P113" s="696">
        <v>61700</v>
      </c>
      <c r="Q113" s="696">
        <v>81450</v>
      </c>
      <c r="R113" s="814">
        <v>41850</v>
      </c>
      <c r="S113" s="696">
        <v>55250</v>
      </c>
      <c r="T113" s="696">
        <v>66950</v>
      </c>
      <c r="U113" s="696">
        <v>88400</v>
      </c>
      <c r="V113" s="843">
        <v>44800</v>
      </c>
      <c r="W113" s="844">
        <v>59150</v>
      </c>
      <c r="X113" s="844">
        <v>71700</v>
      </c>
      <c r="Y113" s="844">
        <v>94650</v>
      </c>
    </row>
    <row r="114" spans="5:25" ht="15" x14ac:dyDescent="0.25">
      <c r="E114" s="697" t="s">
        <v>318</v>
      </c>
      <c r="F114" s="696">
        <v>32550</v>
      </c>
      <c r="G114" s="696">
        <v>43000</v>
      </c>
      <c r="H114" s="696">
        <v>52100</v>
      </c>
      <c r="I114" s="696">
        <v>68750</v>
      </c>
      <c r="J114" s="814">
        <v>36400</v>
      </c>
      <c r="K114" s="696">
        <v>48050</v>
      </c>
      <c r="L114" s="696">
        <v>58250</v>
      </c>
      <c r="M114" s="696">
        <v>76900</v>
      </c>
      <c r="N114" s="814">
        <v>38550</v>
      </c>
      <c r="O114" s="696">
        <v>50900</v>
      </c>
      <c r="P114" s="696">
        <v>61700</v>
      </c>
      <c r="Q114" s="696">
        <v>81450</v>
      </c>
      <c r="R114" s="814">
        <v>41350</v>
      </c>
      <c r="S114" s="696">
        <v>54600</v>
      </c>
      <c r="T114" s="696">
        <v>66150</v>
      </c>
      <c r="U114" s="696">
        <v>87350</v>
      </c>
      <c r="V114" s="843">
        <v>42050</v>
      </c>
      <c r="W114" s="844">
        <v>55550</v>
      </c>
      <c r="X114" s="844">
        <v>67300</v>
      </c>
      <c r="Y114" s="844">
        <v>88850</v>
      </c>
    </row>
    <row r="115" spans="5:25" ht="15" x14ac:dyDescent="0.25">
      <c r="E115" s="697" t="s">
        <v>319</v>
      </c>
      <c r="F115" s="696">
        <v>36500</v>
      </c>
      <c r="G115" s="696">
        <v>48200</v>
      </c>
      <c r="H115" s="696">
        <v>58400</v>
      </c>
      <c r="I115" s="696">
        <v>77100</v>
      </c>
      <c r="J115" s="814">
        <v>40800</v>
      </c>
      <c r="K115" s="696">
        <v>53900</v>
      </c>
      <c r="L115" s="696">
        <v>65300</v>
      </c>
      <c r="M115" s="696">
        <v>86200</v>
      </c>
      <c r="N115" s="814">
        <v>43200</v>
      </c>
      <c r="O115" s="696">
        <v>57050</v>
      </c>
      <c r="P115" s="696">
        <v>69100</v>
      </c>
      <c r="Q115" s="696">
        <v>91200</v>
      </c>
      <c r="R115" s="814">
        <v>46400</v>
      </c>
      <c r="S115" s="696">
        <v>61250</v>
      </c>
      <c r="T115" s="696">
        <v>74250</v>
      </c>
      <c r="U115" s="696">
        <v>98050</v>
      </c>
      <c r="V115" s="843">
        <v>46400</v>
      </c>
      <c r="W115" s="844">
        <v>61250</v>
      </c>
      <c r="X115" s="844">
        <v>74250</v>
      </c>
      <c r="Y115" s="844">
        <v>98050</v>
      </c>
    </row>
    <row r="116" spans="5:25" ht="15" x14ac:dyDescent="0.25">
      <c r="E116" s="697" t="s">
        <v>320</v>
      </c>
      <c r="F116" s="696">
        <v>37100</v>
      </c>
      <c r="G116" s="696">
        <v>49000</v>
      </c>
      <c r="H116" s="696">
        <v>59350</v>
      </c>
      <c r="I116" s="696">
        <v>78350</v>
      </c>
      <c r="J116" s="814">
        <v>40400</v>
      </c>
      <c r="K116" s="696">
        <v>53350</v>
      </c>
      <c r="L116" s="696">
        <v>64650</v>
      </c>
      <c r="M116" s="696">
        <v>85350</v>
      </c>
      <c r="N116" s="814">
        <v>42750</v>
      </c>
      <c r="O116" s="696">
        <v>56450</v>
      </c>
      <c r="P116" s="696">
        <v>68400</v>
      </c>
      <c r="Q116" s="696">
        <v>90300</v>
      </c>
      <c r="R116" s="814">
        <v>47000</v>
      </c>
      <c r="S116" s="696">
        <v>62050</v>
      </c>
      <c r="T116" s="696">
        <v>75200</v>
      </c>
      <c r="U116" s="696">
        <v>99300</v>
      </c>
      <c r="V116" s="843">
        <v>50300</v>
      </c>
      <c r="W116" s="844">
        <v>66400</v>
      </c>
      <c r="X116" s="844">
        <v>80500</v>
      </c>
      <c r="Y116" s="844">
        <v>106300</v>
      </c>
    </row>
    <row r="117" spans="5:25" ht="15" x14ac:dyDescent="0.25">
      <c r="E117" s="697" t="s">
        <v>321</v>
      </c>
      <c r="F117" s="696">
        <v>33350</v>
      </c>
      <c r="G117" s="696">
        <v>44050</v>
      </c>
      <c r="H117" s="696">
        <v>53350</v>
      </c>
      <c r="I117" s="696">
        <v>70400</v>
      </c>
      <c r="J117" s="814">
        <v>36400</v>
      </c>
      <c r="K117" s="696">
        <v>48050</v>
      </c>
      <c r="L117" s="696">
        <v>58250</v>
      </c>
      <c r="M117" s="696">
        <v>76900</v>
      </c>
      <c r="N117" s="814">
        <v>38550</v>
      </c>
      <c r="O117" s="696">
        <v>50900</v>
      </c>
      <c r="P117" s="696">
        <v>61700</v>
      </c>
      <c r="Q117" s="696">
        <v>81450</v>
      </c>
      <c r="R117" s="814">
        <v>41350</v>
      </c>
      <c r="S117" s="696">
        <v>54600</v>
      </c>
      <c r="T117" s="696">
        <v>66150</v>
      </c>
      <c r="U117" s="696">
        <v>87350</v>
      </c>
      <c r="V117" s="843">
        <v>45000</v>
      </c>
      <c r="W117" s="844">
        <v>59400</v>
      </c>
      <c r="X117" s="844">
        <v>72000</v>
      </c>
      <c r="Y117" s="844">
        <v>95050</v>
      </c>
    </row>
    <row r="118" spans="5:25" ht="15" x14ac:dyDescent="0.25">
      <c r="E118" s="697" t="s">
        <v>322</v>
      </c>
      <c r="F118" s="696">
        <v>32550</v>
      </c>
      <c r="G118" s="696">
        <v>43000</v>
      </c>
      <c r="H118" s="696">
        <v>52100</v>
      </c>
      <c r="I118" s="696">
        <v>68750</v>
      </c>
      <c r="J118" s="814">
        <v>36400</v>
      </c>
      <c r="K118" s="696">
        <v>48050</v>
      </c>
      <c r="L118" s="696">
        <v>58250</v>
      </c>
      <c r="M118" s="696">
        <v>76900</v>
      </c>
      <c r="N118" s="814">
        <v>38550</v>
      </c>
      <c r="O118" s="696">
        <v>50900</v>
      </c>
      <c r="P118" s="696">
        <v>61700</v>
      </c>
      <c r="Q118" s="696">
        <v>81450</v>
      </c>
      <c r="R118" s="814">
        <v>41350</v>
      </c>
      <c r="S118" s="696">
        <v>54600</v>
      </c>
      <c r="T118" s="696">
        <v>66150</v>
      </c>
      <c r="U118" s="696">
        <v>87350</v>
      </c>
      <c r="V118" s="843">
        <v>42050</v>
      </c>
      <c r="W118" s="844">
        <v>55550</v>
      </c>
      <c r="X118" s="844">
        <v>67300</v>
      </c>
      <c r="Y118" s="844">
        <v>88850</v>
      </c>
    </row>
    <row r="119" spans="5:25" ht="15" x14ac:dyDescent="0.25">
      <c r="E119" s="697" t="s">
        <v>323</v>
      </c>
      <c r="F119" s="696">
        <v>32550</v>
      </c>
      <c r="G119" s="696">
        <v>43000</v>
      </c>
      <c r="H119" s="696">
        <v>52100</v>
      </c>
      <c r="I119" s="696">
        <v>68750</v>
      </c>
      <c r="J119" s="814">
        <v>36400</v>
      </c>
      <c r="K119" s="696">
        <v>48050</v>
      </c>
      <c r="L119" s="696">
        <v>58250</v>
      </c>
      <c r="M119" s="696">
        <v>76900</v>
      </c>
      <c r="N119" s="814">
        <v>38550</v>
      </c>
      <c r="O119" s="696">
        <v>50900</v>
      </c>
      <c r="P119" s="696">
        <v>61700</v>
      </c>
      <c r="Q119" s="696">
        <v>81450</v>
      </c>
      <c r="R119" s="814">
        <v>41350</v>
      </c>
      <c r="S119" s="696">
        <v>54600</v>
      </c>
      <c r="T119" s="696">
        <v>66150</v>
      </c>
      <c r="U119" s="696">
        <v>87350</v>
      </c>
      <c r="V119" s="843">
        <v>42050</v>
      </c>
      <c r="W119" s="844">
        <v>55550</v>
      </c>
      <c r="X119" s="844">
        <v>67300</v>
      </c>
      <c r="Y119" s="844">
        <v>88850</v>
      </c>
    </row>
    <row r="120" spans="5:25" ht="15" x14ac:dyDescent="0.25">
      <c r="E120" s="697" t="s">
        <v>324</v>
      </c>
      <c r="F120" s="696">
        <v>32550</v>
      </c>
      <c r="G120" s="696">
        <v>43000</v>
      </c>
      <c r="H120" s="696">
        <v>52100</v>
      </c>
      <c r="I120" s="696">
        <v>68750</v>
      </c>
      <c r="J120" s="814">
        <v>36400</v>
      </c>
      <c r="K120" s="696">
        <v>48050</v>
      </c>
      <c r="L120" s="696">
        <v>58250</v>
      </c>
      <c r="M120" s="696">
        <v>76900</v>
      </c>
      <c r="N120" s="814">
        <v>38550</v>
      </c>
      <c r="O120" s="696">
        <v>50900</v>
      </c>
      <c r="P120" s="696">
        <v>61700</v>
      </c>
      <c r="Q120" s="696">
        <v>81450</v>
      </c>
      <c r="R120" s="814">
        <v>41350</v>
      </c>
      <c r="S120" s="696">
        <v>54600</v>
      </c>
      <c r="T120" s="696">
        <v>66150</v>
      </c>
      <c r="U120" s="696">
        <v>87350</v>
      </c>
      <c r="V120" s="843">
        <v>42050</v>
      </c>
      <c r="W120" s="844">
        <v>55550</v>
      </c>
      <c r="X120" s="844">
        <v>67300</v>
      </c>
      <c r="Y120" s="844">
        <v>88850</v>
      </c>
    </row>
    <row r="121" spans="5:25" ht="15" x14ac:dyDescent="0.25">
      <c r="E121" s="697" t="s">
        <v>325</v>
      </c>
      <c r="F121" s="696">
        <v>37900</v>
      </c>
      <c r="G121" s="696">
        <v>50050</v>
      </c>
      <c r="H121" s="696">
        <v>60650</v>
      </c>
      <c r="I121" s="696">
        <v>80050</v>
      </c>
      <c r="J121" s="814">
        <v>42400</v>
      </c>
      <c r="K121" s="696">
        <v>56000</v>
      </c>
      <c r="L121" s="696">
        <v>67850</v>
      </c>
      <c r="M121" s="696">
        <v>89550</v>
      </c>
      <c r="N121" s="814">
        <v>42550</v>
      </c>
      <c r="O121" s="696">
        <v>56200</v>
      </c>
      <c r="P121" s="696">
        <v>68100</v>
      </c>
      <c r="Q121" s="696">
        <v>89900</v>
      </c>
      <c r="R121" s="814">
        <v>45750</v>
      </c>
      <c r="S121" s="696">
        <v>60400</v>
      </c>
      <c r="T121" s="696">
        <v>73200</v>
      </c>
      <c r="U121" s="696">
        <v>96650</v>
      </c>
      <c r="V121" s="843">
        <v>46900</v>
      </c>
      <c r="W121" s="844">
        <v>61950</v>
      </c>
      <c r="X121" s="844">
        <v>75050</v>
      </c>
      <c r="Y121" s="844">
        <v>99100</v>
      </c>
    </row>
    <row r="122" spans="5:25" ht="15" x14ac:dyDescent="0.25">
      <c r="E122" s="697" t="s">
        <v>326</v>
      </c>
      <c r="F122" s="696">
        <v>33800</v>
      </c>
      <c r="G122" s="696">
        <v>44650</v>
      </c>
      <c r="H122" s="696">
        <v>54100</v>
      </c>
      <c r="I122" s="696">
        <v>71400</v>
      </c>
      <c r="J122" s="814">
        <v>36400</v>
      </c>
      <c r="K122" s="696">
        <v>48050</v>
      </c>
      <c r="L122" s="696">
        <v>58250</v>
      </c>
      <c r="M122" s="696">
        <v>76900</v>
      </c>
      <c r="N122" s="814">
        <v>38550</v>
      </c>
      <c r="O122" s="696">
        <v>50900</v>
      </c>
      <c r="P122" s="696">
        <v>61700</v>
      </c>
      <c r="Q122" s="696">
        <v>81450</v>
      </c>
      <c r="R122" s="814">
        <v>42400</v>
      </c>
      <c r="S122" s="696">
        <v>55950</v>
      </c>
      <c r="T122" s="696">
        <v>67850</v>
      </c>
      <c r="U122" s="696">
        <v>89550</v>
      </c>
      <c r="V122" s="843">
        <v>46300</v>
      </c>
      <c r="W122" s="844">
        <v>61100</v>
      </c>
      <c r="X122" s="844">
        <v>74100</v>
      </c>
      <c r="Y122" s="844">
        <v>97800</v>
      </c>
    </row>
    <row r="123" spans="5:25" ht="15" x14ac:dyDescent="0.25">
      <c r="E123" s="697" t="s">
        <v>327</v>
      </c>
      <c r="F123" s="696">
        <v>38000</v>
      </c>
      <c r="G123" s="696">
        <v>50200</v>
      </c>
      <c r="H123" s="696">
        <v>60800</v>
      </c>
      <c r="I123" s="696">
        <v>80250</v>
      </c>
      <c r="J123" s="814">
        <v>41500</v>
      </c>
      <c r="K123" s="696">
        <v>54800</v>
      </c>
      <c r="L123" s="696">
        <v>66400</v>
      </c>
      <c r="M123" s="696">
        <v>87650</v>
      </c>
      <c r="N123" s="814">
        <v>43950</v>
      </c>
      <c r="O123" s="696">
        <v>58050</v>
      </c>
      <c r="P123" s="696">
        <v>70300</v>
      </c>
      <c r="Q123" s="696">
        <v>92800</v>
      </c>
      <c r="R123" s="814">
        <v>44150</v>
      </c>
      <c r="S123" s="696">
        <v>58300</v>
      </c>
      <c r="T123" s="696">
        <v>70650</v>
      </c>
      <c r="U123" s="696">
        <v>93300</v>
      </c>
      <c r="V123" s="843">
        <v>45250</v>
      </c>
      <c r="W123" s="844">
        <v>59750</v>
      </c>
      <c r="X123" s="844">
        <v>72400</v>
      </c>
      <c r="Y123" s="844">
        <v>95600</v>
      </c>
    </row>
    <row r="124" spans="5:25" ht="15" x14ac:dyDescent="0.25">
      <c r="E124" s="697" t="s">
        <v>328</v>
      </c>
      <c r="F124" s="696">
        <v>38850</v>
      </c>
      <c r="G124" s="696">
        <v>51300</v>
      </c>
      <c r="H124" s="696">
        <v>62150</v>
      </c>
      <c r="I124" s="696">
        <v>82050</v>
      </c>
      <c r="J124" s="814">
        <v>41350</v>
      </c>
      <c r="K124" s="696">
        <v>54600</v>
      </c>
      <c r="L124" s="696">
        <v>66150</v>
      </c>
      <c r="M124" s="696">
        <v>87300</v>
      </c>
      <c r="N124" s="814">
        <v>43550</v>
      </c>
      <c r="O124" s="696">
        <v>57500</v>
      </c>
      <c r="P124" s="696">
        <v>69700</v>
      </c>
      <c r="Q124" s="696">
        <v>92000</v>
      </c>
      <c r="R124" s="814">
        <v>43650</v>
      </c>
      <c r="S124" s="696">
        <v>57650</v>
      </c>
      <c r="T124" s="696">
        <v>69850</v>
      </c>
      <c r="U124" s="696">
        <v>92250</v>
      </c>
      <c r="V124" s="843">
        <v>47650</v>
      </c>
      <c r="W124" s="844">
        <v>62900</v>
      </c>
      <c r="X124" s="844">
        <v>76250</v>
      </c>
      <c r="Y124" s="844">
        <v>100650</v>
      </c>
    </row>
    <row r="125" spans="5:25" ht="15" x14ac:dyDescent="0.25">
      <c r="E125" s="697" t="s">
        <v>329</v>
      </c>
      <c r="F125" s="696">
        <v>38850</v>
      </c>
      <c r="G125" s="696">
        <v>51300</v>
      </c>
      <c r="H125" s="696">
        <v>62150</v>
      </c>
      <c r="I125" s="696">
        <v>82050</v>
      </c>
      <c r="J125" s="814">
        <v>41350</v>
      </c>
      <c r="K125" s="696">
        <v>54600</v>
      </c>
      <c r="L125" s="696">
        <v>66150</v>
      </c>
      <c r="M125" s="696">
        <v>87300</v>
      </c>
      <c r="N125" s="814">
        <v>43550</v>
      </c>
      <c r="O125" s="696">
        <v>57500</v>
      </c>
      <c r="P125" s="696">
        <v>69700</v>
      </c>
      <c r="Q125" s="696">
        <v>92000</v>
      </c>
      <c r="R125" s="814">
        <v>43650</v>
      </c>
      <c r="S125" s="696">
        <v>57650</v>
      </c>
      <c r="T125" s="696">
        <v>69850</v>
      </c>
      <c r="U125" s="696">
        <v>92250</v>
      </c>
      <c r="V125" s="843">
        <v>47650</v>
      </c>
      <c r="W125" s="844">
        <v>62900</v>
      </c>
      <c r="X125" s="844">
        <v>76250</v>
      </c>
      <c r="Y125" s="844">
        <v>100650</v>
      </c>
    </row>
    <row r="126" spans="5:25" ht="15" x14ac:dyDescent="0.25">
      <c r="E126" s="697" t="s">
        <v>330</v>
      </c>
      <c r="F126" s="696">
        <v>32550</v>
      </c>
      <c r="G126" s="696">
        <v>43000</v>
      </c>
      <c r="H126" s="696">
        <v>52100</v>
      </c>
      <c r="I126" s="696">
        <v>68750</v>
      </c>
      <c r="J126" s="814">
        <v>36400</v>
      </c>
      <c r="K126" s="696">
        <v>48050</v>
      </c>
      <c r="L126" s="696">
        <v>58250</v>
      </c>
      <c r="M126" s="696">
        <v>76900</v>
      </c>
      <c r="N126" s="814">
        <v>38550</v>
      </c>
      <c r="O126" s="696">
        <v>50900</v>
      </c>
      <c r="P126" s="696">
        <v>61700</v>
      </c>
      <c r="Q126" s="696">
        <v>81450</v>
      </c>
      <c r="R126" s="814">
        <v>41350</v>
      </c>
      <c r="S126" s="696">
        <v>54600</v>
      </c>
      <c r="T126" s="696">
        <v>66150</v>
      </c>
      <c r="U126" s="696">
        <v>87350</v>
      </c>
      <c r="V126" s="843">
        <v>42050</v>
      </c>
      <c r="W126" s="844">
        <v>55550</v>
      </c>
      <c r="X126" s="844">
        <v>67300</v>
      </c>
      <c r="Y126" s="844">
        <v>88850</v>
      </c>
    </row>
    <row r="127" spans="5:25" ht="15" x14ac:dyDescent="0.25">
      <c r="E127" s="697" t="s">
        <v>331</v>
      </c>
      <c r="F127" s="696">
        <v>43300</v>
      </c>
      <c r="G127" s="696">
        <v>57200</v>
      </c>
      <c r="H127" s="696">
        <v>69300</v>
      </c>
      <c r="I127" s="696">
        <v>91500</v>
      </c>
      <c r="J127" s="814">
        <v>48400</v>
      </c>
      <c r="K127" s="696">
        <v>63900</v>
      </c>
      <c r="L127" s="696">
        <v>77450</v>
      </c>
      <c r="M127" s="696">
        <v>102250</v>
      </c>
      <c r="N127" s="814">
        <v>51250</v>
      </c>
      <c r="O127" s="696">
        <v>67650</v>
      </c>
      <c r="P127" s="696">
        <v>82000</v>
      </c>
      <c r="Q127" s="696">
        <v>108250</v>
      </c>
      <c r="R127" s="814">
        <v>51550</v>
      </c>
      <c r="S127" s="696">
        <v>68050</v>
      </c>
      <c r="T127" s="696">
        <v>82500</v>
      </c>
      <c r="U127" s="696">
        <v>108900</v>
      </c>
      <c r="V127" s="843">
        <v>55700</v>
      </c>
      <c r="W127" s="844">
        <v>73550</v>
      </c>
      <c r="X127" s="844">
        <v>89100</v>
      </c>
      <c r="Y127" s="844">
        <v>117650</v>
      </c>
    </row>
    <row r="128" spans="5:25" ht="15" x14ac:dyDescent="0.25">
      <c r="E128" s="697" t="s">
        <v>332</v>
      </c>
      <c r="F128" s="696">
        <v>33650</v>
      </c>
      <c r="G128" s="696">
        <v>44450</v>
      </c>
      <c r="H128" s="696">
        <v>53850</v>
      </c>
      <c r="I128" s="696">
        <v>71100</v>
      </c>
      <c r="J128" s="814">
        <v>36400</v>
      </c>
      <c r="K128" s="696">
        <v>48050</v>
      </c>
      <c r="L128" s="696">
        <v>58250</v>
      </c>
      <c r="M128" s="696">
        <v>76900</v>
      </c>
      <c r="N128" s="814">
        <v>38550</v>
      </c>
      <c r="O128" s="696">
        <v>50900</v>
      </c>
      <c r="P128" s="696">
        <v>61700</v>
      </c>
      <c r="Q128" s="696">
        <v>81450</v>
      </c>
      <c r="R128" s="814">
        <v>41350</v>
      </c>
      <c r="S128" s="696">
        <v>54600</v>
      </c>
      <c r="T128" s="696">
        <v>66150</v>
      </c>
      <c r="U128" s="696">
        <v>87350</v>
      </c>
      <c r="V128" s="843">
        <v>42050</v>
      </c>
      <c r="W128" s="844">
        <v>55550</v>
      </c>
      <c r="X128" s="844">
        <v>67300</v>
      </c>
      <c r="Y128" s="844">
        <v>88850</v>
      </c>
    </row>
    <row r="129" spans="5:25" ht="15" x14ac:dyDescent="0.25">
      <c r="E129" s="697" t="s">
        <v>333</v>
      </c>
      <c r="F129" s="696">
        <v>37650</v>
      </c>
      <c r="G129" s="696">
        <v>49700</v>
      </c>
      <c r="H129" s="696">
        <v>60250</v>
      </c>
      <c r="I129" s="696">
        <v>79550</v>
      </c>
      <c r="J129" s="814">
        <v>41450</v>
      </c>
      <c r="K129" s="696">
        <v>54750</v>
      </c>
      <c r="L129" s="696">
        <v>66300</v>
      </c>
      <c r="M129" s="696">
        <v>87500</v>
      </c>
      <c r="N129" s="814">
        <v>41450</v>
      </c>
      <c r="O129" s="696">
        <v>54750</v>
      </c>
      <c r="P129" s="696">
        <v>66300</v>
      </c>
      <c r="Q129" s="696">
        <v>87500</v>
      </c>
      <c r="R129" s="814">
        <v>41450</v>
      </c>
      <c r="S129" s="696">
        <v>54750</v>
      </c>
      <c r="T129" s="696">
        <v>66300</v>
      </c>
      <c r="U129" s="696">
        <v>87550</v>
      </c>
      <c r="V129" s="843">
        <v>42050</v>
      </c>
      <c r="W129" s="844">
        <v>55550</v>
      </c>
      <c r="X129" s="844">
        <v>67300</v>
      </c>
      <c r="Y129" s="844">
        <v>88850</v>
      </c>
    </row>
    <row r="130" spans="5:25" ht="15" x14ac:dyDescent="0.25">
      <c r="E130" s="697" t="s">
        <v>334</v>
      </c>
      <c r="F130" s="696">
        <v>34150</v>
      </c>
      <c r="G130" s="696">
        <v>45100</v>
      </c>
      <c r="H130" s="696">
        <v>54650</v>
      </c>
      <c r="I130" s="696">
        <v>72150</v>
      </c>
      <c r="J130" s="814">
        <v>36700</v>
      </c>
      <c r="K130" s="696">
        <v>48450</v>
      </c>
      <c r="L130" s="696">
        <v>58700</v>
      </c>
      <c r="M130" s="696">
        <v>77500</v>
      </c>
      <c r="N130" s="814">
        <v>38850</v>
      </c>
      <c r="O130" s="696">
        <v>51300</v>
      </c>
      <c r="P130" s="696">
        <v>62150</v>
      </c>
      <c r="Q130" s="696">
        <v>82050</v>
      </c>
      <c r="R130" s="814">
        <v>41350</v>
      </c>
      <c r="S130" s="696">
        <v>54600</v>
      </c>
      <c r="T130" s="696">
        <v>66150</v>
      </c>
      <c r="U130" s="696">
        <v>87350</v>
      </c>
      <c r="V130" s="843">
        <v>45150</v>
      </c>
      <c r="W130" s="844">
        <v>59600</v>
      </c>
      <c r="X130" s="844">
        <v>72250</v>
      </c>
      <c r="Y130" s="844">
        <v>95400</v>
      </c>
    </row>
    <row r="131" spans="5:25" ht="15" x14ac:dyDescent="0.25">
      <c r="E131" s="697" t="s">
        <v>335</v>
      </c>
      <c r="F131" s="696">
        <v>32550</v>
      </c>
      <c r="G131" s="696">
        <v>43000</v>
      </c>
      <c r="H131" s="696">
        <v>52100</v>
      </c>
      <c r="I131" s="696">
        <v>68750</v>
      </c>
      <c r="J131" s="814">
        <v>36400</v>
      </c>
      <c r="K131" s="696">
        <v>48050</v>
      </c>
      <c r="L131" s="696">
        <v>58250</v>
      </c>
      <c r="M131" s="696">
        <v>76900</v>
      </c>
      <c r="N131" s="814">
        <v>38550</v>
      </c>
      <c r="O131" s="696">
        <v>50900</v>
      </c>
      <c r="P131" s="696">
        <v>61700</v>
      </c>
      <c r="Q131" s="696">
        <v>81450</v>
      </c>
      <c r="R131" s="814">
        <v>41350</v>
      </c>
      <c r="S131" s="696">
        <v>54600</v>
      </c>
      <c r="T131" s="696">
        <v>66150</v>
      </c>
      <c r="U131" s="696">
        <v>87350</v>
      </c>
      <c r="V131" s="843">
        <v>42050</v>
      </c>
      <c r="W131" s="844">
        <v>55550</v>
      </c>
      <c r="X131" s="844">
        <v>67300</v>
      </c>
      <c r="Y131" s="844">
        <v>88850</v>
      </c>
    </row>
    <row r="132" spans="5:25" ht="15" x14ac:dyDescent="0.25">
      <c r="E132" s="697" t="s">
        <v>336</v>
      </c>
      <c r="F132" s="696">
        <v>36250</v>
      </c>
      <c r="G132" s="696">
        <v>47850</v>
      </c>
      <c r="H132" s="696">
        <v>58000</v>
      </c>
      <c r="I132" s="696">
        <v>76550</v>
      </c>
      <c r="J132" s="814">
        <v>39000</v>
      </c>
      <c r="K132" s="696">
        <v>51500</v>
      </c>
      <c r="L132" s="696">
        <v>62400</v>
      </c>
      <c r="M132" s="696">
        <v>82350</v>
      </c>
      <c r="N132" s="814">
        <v>41300</v>
      </c>
      <c r="O132" s="696">
        <v>54550</v>
      </c>
      <c r="P132" s="696">
        <v>66100</v>
      </c>
      <c r="Q132" s="696">
        <v>87250</v>
      </c>
      <c r="R132" s="814">
        <v>44450</v>
      </c>
      <c r="S132" s="696">
        <v>58700</v>
      </c>
      <c r="T132" s="696">
        <v>71100</v>
      </c>
      <c r="U132" s="696">
        <v>93900</v>
      </c>
      <c r="V132" s="843">
        <v>45900</v>
      </c>
      <c r="W132" s="844">
        <v>60600</v>
      </c>
      <c r="X132" s="844">
        <v>73450</v>
      </c>
      <c r="Y132" s="844">
        <v>97000</v>
      </c>
    </row>
    <row r="133" spans="5:25" ht="15" x14ac:dyDescent="0.25">
      <c r="E133" s="697" t="s">
        <v>337</v>
      </c>
      <c r="F133" s="696">
        <v>43300</v>
      </c>
      <c r="G133" s="696">
        <v>57200</v>
      </c>
      <c r="H133" s="696">
        <v>69300</v>
      </c>
      <c r="I133" s="696">
        <v>91500</v>
      </c>
      <c r="J133" s="814">
        <v>48400</v>
      </c>
      <c r="K133" s="696">
        <v>63900</v>
      </c>
      <c r="L133" s="696">
        <v>77450</v>
      </c>
      <c r="M133" s="696">
        <v>102250</v>
      </c>
      <c r="N133" s="814">
        <v>51250</v>
      </c>
      <c r="O133" s="696">
        <v>67650</v>
      </c>
      <c r="P133" s="696">
        <v>82000</v>
      </c>
      <c r="Q133" s="696">
        <v>108250</v>
      </c>
      <c r="R133" s="814">
        <v>51550</v>
      </c>
      <c r="S133" s="696">
        <v>68050</v>
      </c>
      <c r="T133" s="696">
        <v>82500</v>
      </c>
      <c r="U133" s="696">
        <v>108900</v>
      </c>
      <c r="V133" s="843">
        <v>55700</v>
      </c>
      <c r="W133" s="844">
        <v>73550</v>
      </c>
      <c r="X133" s="844">
        <v>89100</v>
      </c>
      <c r="Y133" s="844">
        <v>117650</v>
      </c>
    </row>
    <row r="134" spans="5:25" ht="15" x14ac:dyDescent="0.25">
      <c r="E134" s="697" t="s">
        <v>338</v>
      </c>
      <c r="F134" s="696">
        <v>33900</v>
      </c>
      <c r="G134" s="696">
        <v>44750</v>
      </c>
      <c r="H134" s="696">
        <v>54250</v>
      </c>
      <c r="I134" s="696">
        <v>71600</v>
      </c>
      <c r="J134" s="814">
        <v>36700</v>
      </c>
      <c r="K134" s="696">
        <v>48450</v>
      </c>
      <c r="L134" s="696">
        <v>58700</v>
      </c>
      <c r="M134" s="696">
        <v>77500</v>
      </c>
      <c r="N134" s="814">
        <v>38850</v>
      </c>
      <c r="O134" s="696">
        <v>51300</v>
      </c>
      <c r="P134" s="696">
        <v>62150</v>
      </c>
      <c r="Q134" s="696">
        <v>82050</v>
      </c>
      <c r="R134" s="814">
        <v>41350</v>
      </c>
      <c r="S134" s="696">
        <v>54600</v>
      </c>
      <c r="T134" s="696">
        <v>66150</v>
      </c>
      <c r="U134" s="696">
        <v>87350</v>
      </c>
      <c r="V134" s="843">
        <v>42050</v>
      </c>
      <c r="W134" s="844">
        <v>55550</v>
      </c>
      <c r="X134" s="844">
        <v>67300</v>
      </c>
      <c r="Y134" s="844">
        <v>88850</v>
      </c>
    </row>
    <row r="135" spans="5:25" ht="15" x14ac:dyDescent="0.25">
      <c r="E135" s="697" t="s">
        <v>339</v>
      </c>
      <c r="F135" s="696">
        <v>43300</v>
      </c>
      <c r="G135" s="696">
        <v>57200</v>
      </c>
      <c r="H135" s="696">
        <v>69300</v>
      </c>
      <c r="I135" s="696">
        <v>91500</v>
      </c>
      <c r="J135" s="814">
        <v>48400</v>
      </c>
      <c r="K135" s="696">
        <v>63900</v>
      </c>
      <c r="L135" s="696">
        <v>77450</v>
      </c>
      <c r="M135" s="696">
        <v>102250</v>
      </c>
      <c r="N135" s="814">
        <v>51250</v>
      </c>
      <c r="O135" s="696">
        <v>67650</v>
      </c>
      <c r="P135" s="696">
        <v>82000</v>
      </c>
      <c r="Q135" s="696">
        <v>108250</v>
      </c>
      <c r="R135" s="814">
        <v>51550</v>
      </c>
      <c r="S135" s="696">
        <v>68050</v>
      </c>
      <c r="T135" s="696">
        <v>82500</v>
      </c>
      <c r="U135" s="696">
        <v>108900</v>
      </c>
      <c r="V135" s="843">
        <v>55700</v>
      </c>
      <c r="W135" s="844">
        <v>73550</v>
      </c>
      <c r="X135" s="844">
        <v>89100</v>
      </c>
      <c r="Y135" s="844">
        <v>117650</v>
      </c>
    </row>
    <row r="136" spans="5:25" ht="15" x14ac:dyDescent="0.25">
      <c r="E136" s="697" t="s">
        <v>340</v>
      </c>
      <c r="F136" s="696">
        <v>35300</v>
      </c>
      <c r="G136" s="696">
        <v>46600</v>
      </c>
      <c r="H136" s="696">
        <v>56500</v>
      </c>
      <c r="I136" s="696">
        <v>74600</v>
      </c>
      <c r="J136" s="814">
        <v>36700</v>
      </c>
      <c r="K136" s="696">
        <v>48450</v>
      </c>
      <c r="L136" s="696">
        <v>58700</v>
      </c>
      <c r="M136" s="696">
        <v>77500</v>
      </c>
      <c r="N136" s="814">
        <v>38850</v>
      </c>
      <c r="O136" s="696">
        <v>51300</v>
      </c>
      <c r="P136" s="696">
        <v>62150</v>
      </c>
      <c r="Q136" s="696">
        <v>82050</v>
      </c>
      <c r="R136" s="814">
        <v>42700</v>
      </c>
      <c r="S136" s="696">
        <v>56400</v>
      </c>
      <c r="T136" s="696">
        <v>68300</v>
      </c>
      <c r="U136" s="696">
        <v>90200</v>
      </c>
      <c r="V136" s="843">
        <v>45950</v>
      </c>
      <c r="W136" s="844">
        <v>60700</v>
      </c>
      <c r="X136" s="844">
        <v>73500</v>
      </c>
      <c r="Y136" s="844">
        <v>97050</v>
      </c>
    </row>
    <row r="137" spans="5:25" ht="15" x14ac:dyDescent="0.25">
      <c r="E137" s="697" t="s">
        <v>341</v>
      </c>
      <c r="F137" s="696">
        <v>32550</v>
      </c>
      <c r="G137" s="696">
        <v>43000</v>
      </c>
      <c r="H137" s="696">
        <v>52100</v>
      </c>
      <c r="I137" s="696">
        <v>68750</v>
      </c>
      <c r="J137" s="814">
        <v>36400</v>
      </c>
      <c r="K137" s="696">
        <v>48050</v>
      </c>
      <c r="L137" s="696">
        <v>58250</v>
      </c>
      <c r="M137" s="696">
        <v>76900</v>
      </c>
      <c r="N137" s="814">
        <v>38550</v>
      </c>
      <c r="O137" s="696">
        <v>50900</v>
      </c>
      <c r="P137" s="696">
        <v>61700</v>
      </c>
      <c r="Q137" s="696">
        <v>81450</v>
      </c>
      <c r="R137" s="814">
        <v>41350</v>
      </c>
      <c r="S137" s="696">
        <v>54600</v>
      </c>
      <c r="T137" s="696">
        <v>66150</v>
      </c>
      <c r="U137" s="696">
        <v>87350</v>
      </c>
      <c r="V137" s="843">
        <v>42050</v>
      </c>
      <c r="W137" s="844">
        <v>55550</v>
      </c>
      <c r="X137" s="844">
        <v>67300</v>
      </c>
      <c r="Y137" s="844">
        <v>88850</v>
      </c>
    </row>
    <row r="138" spans="5:25" ht="15" x14ac:dyDescent="0.25">
      <c r="E138" s="697" t="s">
        <v>342</v>
      </c>
      <c r="F138" s="696">
        <v>36750</v>
      </c>
      <c r="G138" s="696">
        <v>48550</v>
      </c>
      <c r="H138" s="696">
        <v>58800</v>
      </c>
      <c r="I138" s="696">
        <v>77600</v>
      </c>
      <c r="J138" s="814">
        <v>39850</v>
      </c>
      <c r="K138" s="696">
        <v>52650</v>
      </c>
      <c r="L138" s="696">
        <v>63750</v>
      </c>
      <c r="M138" s="696">
        <v>84150</v>
      </c>
      <c r="N138" s="814">
        <v>42200</v>
      </c>
      <c r="O138" s="696">
        <v>55750</v>
      </c>
      <c r="P138" s="696">
        <v>67500</v>
      </c>
      <c r="Q138" s="696">
        <v>89100</v>
      </c>
      <c r="R138" s="814">
        <v>46400</v>
      </c>
      <c r="S138" s="696">
        <v>61250</v>
      </c>
      <c r="T138" s="696">
        <v>74250</v>
      </c>
      <c r="U138" s="696">
        <v>98000</v>
      </c>
      <c r="V138" s="843">
        <v>50250</v>
      </c>
      <c r="W138" s="844">
        <v>66350</v>
      </c>
      <c r="X138" s="844">
        <v>80400</v>
      </c>
      <c r="Y138" s="844">
        <v>106150</v>
      </c>
    </row>
    <row r="139" spans="5:25" ht="15" x14ac:dyDescent="0.25">
      <c r="E139" s="697" t="s">
        <v>343</v>
      </c>
      <c r="F139" s="696">
        <v>33500</v>
      </c>
      <c r="G139" s="696">
        <v>44250</v>
      </c>
      <c r="H139" s="696">
        <v>53600</v>
      </c>
      <c r="I139" s="696">
        <v>70750</v>
      </c>
      <c r="J139" s="814">
        <v>37300</v>
      </c>
      <c r="K139" s="696">
        <v>49250</v>
      </c>
      <c r="L139" s="696">
        <v>59700</v>
      </c>
      <c r="M139" s="696">
        <v>78800</v>
      </c>
      <c r="N139" s="814">
        <v>39500</v>
      </c>
      <c r="O139" s="696">
        <v>52150</v>
      </c>
      <c r="P139" s="696">
        <v>63200</v>
      </c>
      <c r="Q139" s="696">
        <v>83400</v>
      </c>
      <c r="R139" s="814">
        <v>41350</v>
      </c>
      <c r="S139" s="696">
        <v>54600</v>
      </c>
      <c r="T139" s="696">
        <v>66150</v>
      </c>
      <c r="U139" s="696">
        <v>87350</v>
      </c>
      <c r="V139" s="843">
        <v>43100</v>
      </c>
      <c r="W139" s="844">
        <v>56900</v>
      </c>
      <c r="X139" s="844">
        <v>68950</v>
      </c>
      <c r="Y139" s="844">
        <v>91050</v>
      </c>
    </row>
    <row r="140" spans="5:25" ht="15" x14ac:dyDescent="0.25">
      <c r="E140" s="697" t="s">
        <v>344</v>
      </c>
      <c r="F140" s="696">
        <v>33300</v>
      </c>
      <c r="G140" s="696">
        <v>44000</v>
      </c>
      <c r="H140" s="696">
        <v>53300</v>
      </c>
      <c r="I140" s="696">
        <v>70350</v>
      </c>
      <c r="J140" s="814">
        <v>37050</v>
      </c>
      <c r="K140" s="696">
        <v>48950</v>
      </c>
      <c r="L140" s="696">
        <v>59300</v>
      </c>
      <c r="M140" s="696">
        <v>78300</v>
      </c>
      <c r="N140" s="814">
        <v>39200</v>
      </c>
      <c r="O140" s="696">
        <v>51750</v>
      </c>
      <c r="P140" s="696">
        <v>62700</v>
      </c>
      <c r="Q140" s="696">
        <v>82750</v>
      </c>
      <c r="R140" s="814">
        <v>42350</v>
      </c>
      <c r="S140" s="696">
        <v>55950</v>
      </c>
      <c r="T140" s="696">
        <v>67750</v>
      </c>
      <c r="U140" s="696">
        <v>89450</v>
      </c>
      <c r="V140" s="843">
        <v>45300</v>
      </c>
      <c r="W140" s="844">
        <v>59800</v>
      </c>
      <c r="X140" s="844">
        <v>72500</v>
      </c>
      <c r="Y140" s="844">
        <v>95700</v>
      </c>
    </row>
    <row r="141" spans="5:25" ht="15" x14ac:dyDescent="0.25">
      <c r="E141" s="697" t="s">
        <v>345</v>
      </c>
      <c r="F141" s="696">
        <v>34700</v>
      </c>
      <c r="G141" s="696">
        <v>45850</v>
      </c>
      <c r="H141" s="696">
        <v>55500</v>
      </c>
      <c r="I141" s="696">
        <v>73250</v>
      </c>
      <c r="J141" s="814">
        <v>38800</v>
      </c>
      <c r="K141" s="696">
        <v>51250</v>
      </c>
      <c r="L141" s="696">
        <v>62100</v>
      </c>
      <c r="M141" s="696">
        <v>81950</v>
      </c>
      <c r="N141" s="814">
        <v>41050</v>
      </c>
      <c r="O141" s="696">
        <v>54200</v>
      </c>
      <c r="P141" s="696">
        <v>65700</v>
      </c>
      <c r="Q141" s="696">
        <v>86700</v>
      </c>
      <c r="R141" s="814">
        <v>45150</v>
      </c>
      <c r="S141" s="696">
        <v>59600</v>
      </c>
      <c r="T141" s="696">
        <v>72250</v>
      </c>
      <c r="U141" s="696">
        <v>95400</v>
      </c>
      <c r="V141" s="843">
        <v>48950</v>
      </c>
      <c r="W141" s="844">
        <v>64650</v>
      </c>
      <c r="X141" s="844">
        <v>78300</v>
      </c>
      <c r="Y141" s="844">
        <v>103400</v>
      </c>
    </row>
    <row r="142" spans="5:25" ht="15" x14ac:dyDescent="0.25">
      <c r="E142" s="697" t="s">
        <v>346</v>
      </c>
      <c r="F142" s="696">
        <v>43300</v>
      </c>
      <c r="G142" s="696">
        <v>57200</v>
      </c>
      <c r="H142" s="696">
        <v>69300</v>
      </c>
      <c r="I142" s="696">
        <v>91500</v>
      </c>
      <c r="J142" s="814">
        <v>48400</v>
      </c>
      <c r="K142" s="696">
        <v>63900</v>
      </c>
      <c r="L142" s="696">
        <v>77450</v>
      </c>
      <c r="M142" s="696">
        <v>102250</v>
      </c>
      <c r="N142" s="814">
        <v>51250</v>
      </c>
      <c r="O142" s="696">
        <v>67650</v>
      </c>
      <c r="P142" s="696">
        <v>82000</v>
      </c>
      <c r="Q142" s="696">
        <v>108250</v>
      </c>
      <c r="R142" s="814">
        <v>51550</v>
      </c>
      <c r="S142" s="696">
        <v>68050</v>
      </c>
      <c r="T142" s="696">
        <v>82500</v>
      </c>
      <c r="U142" s="696">
        <v>108900</v>
      </c>
      <c r="V142" s="843">
        <v>55700</v>
      </c>
      <c r="W142" s="844">
        <v>73550</v>
      </c>
      <c r="X142" s="844">
        <v>89100</v>
      </c>
      <c r="Y142" s="844">
        <v>117650</v>
      </c>
    </row>
    <row r="143" spans="5:25" ht="15" x14ac:dyDescent="0.25">
      <c r="E143" s="697" t="s">
        <v>347</v>
      </c>
      <c r="F143" s="696">
        <v>33900</v>
      </c>
      <c r="G143" s="696">
        <v>44750</v>
      </c>
      <c r="H143" s="696">
        <v>54250</v>
      </c>
      <c r="I143" s="696">
        <v>71600</v>
      </c>
      <c r="J143" s="814">
        <v>36400</v>
      </c>
      <c r="K143" s="696">
        <v>48050</v>
      </c>
      <c r="L143" s="696">
        <v>58250</v>
      </c>
      <c r="M143" s="696">
        <v>76900</v>
      </c>
      <c r="N143" s="814">
        <v>38550</v>
      </c>
      <c r="O143" s="696">
        <v>50900</v>
      </c>
      <c r="P143" s="696">
        <v>61700</v>
      </c>
      <c r="Q143" s="696">
        <v>81450</v>
      </c>
      <c r="R143" s="814">
        <v>41550</v>
      </c>
      <c r="S143" s="696">
        <v>54850</v>
      </c>
      <c r="T143" s="696">
        <v>66500</v>
      </c>
      <c r="U143" s="696">
        <v>87800</v>
      </c>
      <c r="V143" s="843">
        <v>42050</v>
      </c>
      <c r="W143" s="844">
        <v>55550</v>
      </c>
      <c r="X143" s="844">
        <v>67300</v>
      </c>
      <c r="Y143" s="844">
        <v>88850</v>
      </c>
    </row>
    <row r="144" spans="5:25" ht="15" x14ac:dyDescent="0.25">
      <c r="E144" s="697" t="s">
        <v>348</v>
      </c>
      <c r="F144" s="696">
        <v>32550</v>
      </c>
      <c r="G144" s="696">
        <v>43000</v>
      </c>
      <c r="H144" s="696">
        <v>52100</v>
      </c>
      <c r="I144" s="696">
        <v>68750</v>
      </c>
      <c r="J144" s="814">
        <v>36400</v>
      </c>
      <c r="K144" s="696">
        <v>48050</v>
      </c>
      <c r="L144" s="696">
        <v>58250</v>
      </c>
      <c r="M144" s="696">
        <v>76900</v>
      </c>
      <c r="N144" s="814">
        <v>38550</v>
      </c>
      <c r="O144" s="696">
        <v>50900</v>
      </c>
      <c r="P144" s="696">
        <v>61700</v>
      </c>
      <c r="Q144" s="696">
        <v>81450</v>
      </c>
      <c r="R144" s="814">
        <v>41350</v>
      </c>
      <c r="S144" s="696">
        <v>54600</v>
      </c>
      <c r="T144" s="696">
        <v>66150</v>
      </c>
      <c r="U144" s="696">
        <v>87350</v>
      </c>
      <c r="V144" s="843">
        <v>42050</v>
      </c>
      <c r="W144" s="844">
        <v>55550</v>
      </c>
      <c r="X144" s="844">
        <v>67300</v>
      </c>
      <c r="Y144" s="844">
        <v>88850</v>
      </c>
    </row>
    <row r="145" spans="5:25" ht="15" x14ac:dyDescent="0.25">
      <c r="E145" s="697" t="s">
        <v>349</v>
      </c>
      <c r="F145" s="696">
        <v>35200</v>
      </c>
      <c r="G145" s="696">
        <v>46500</v>
      </c>
      <c r="H145" s="696">
        <v>56300</v>
      </c>
      <c r="I145" s="696">
        <v>74300</v>
      </c>
      <c r="J145" s="814">
        <v>39350</v>
      </c>
      <c r="K145" s="696">
        <v>51950</v>
      </c>
      <c r="L145" s="696">
        <v>62950</v>
      </c>
      <c r="M145" s="696">
        <v>83100</v>
      </c>
      <c r="N145" s="814">
        <v>39950</v>
      </c>
      <c r="O145" s="696">
        <v>52750</v>
      </c>
      <c r="P145" s="696">
        <v>63900</v>
      </c>
      <c r="Q145" s="696">
        <v>84350</v>
      </c>
      <c r="R145" s="814">
        <v>41350</v>
      </c>
      <c r="S145" s="696">
        <v>54600</v>
      </c>
      <c r="T145" s="696">
        <v>66150</v>
      </c>
      <c r="U145" s="696">
        <v>87350</v>
      </c>
      <c r="V145" s="843">
        <v>42050</v>
      </c>
      <c r="W145" s="844">
        <v>55550</v>
      </c>
      <c r="X145" s="844">
        <v>67300</v>
      </c>
      <c r="Y145" s="844">
        <v>88850</v>
      </c>
    </row>
    <row r="146" spans="5:25" ht="15" x14ac:dyDescent="0.25">
      <c r="E146" s="697" t="s">
        <v>350</v>
      </c>
      <c r="F146" s="696">
        <v>32550</v>
      </c>
      <c r="G146" s="696">
        <v>43000</v>
      </c>
      <c r="H146" s="696">
        <v>52100</v>
      </c>
      <c r="I146" s="696">
        <v>68750</v>
      </c>
      <c r="J146" s="814">
        <v>36400</v>
      </c>
      <c r="K146" s="696">
        <v>48050</v>
      </c>
      <c r="L146" s="696">
        <v>58250</v>
      </c>
      <c r="M146" s="696">
        <v>76900</v>
      </c>
      <c r="N146" s="814">
        <v>38550</v>
      </c>
      <c r="O146" s="696">
        <v>50900</v>
      </c>
      <c r="P146" s="696">
        <v>61700</v>
      </c>
      <c r="Q146" s="696">
        <v>81450</v>
      </c>
      <c r="R146" s="814">
        <v>42400</v>
      </c>
      <c r="S146" s="696">
        <v>55950</v>
      </c>
      <c r="T146" s="696">
        <v>67850</v>
      </c>
      <c r="U146" s="696">
        <v>89550</v>
      </c>
      <c r="V146" s="843">
        <v>44950</v>
      </c>
      <c r="W146" s="844">
        <v>59350</v>
      </c>
      <c r="X146" s="844">
        <v>71900</v>
      </c>
      <c r="Y146" s="844">
        <v>94950</v>
      </c>
    </row>
    <row r="147" spans="5:25" ht="15" x14ac:dyDescent="0.25">
      <c r="E147" s="697" t="s">
        <v>351</v>
      </c>
      <c r="F147" s="696">
        <v>39100</v>
      </c>
      <c r="G147" s="696">
        <v>51650</v>
      </c>
      <c r="H147" s="696">
        <v>62550</v>
      </c>
      <c r="I147" s="696">
        <v>82550</v>
      </c>
      <c r="J147" s="814">
        <v>43700</v>
      </c>
      <c r="K147" s="696">
        <v>57700</v>
      </c>
      <c r="L147" s="696">
        <v>69900</v>
      </c>
      <c r="M147" s="696">
        <v>92250</v>
      </c>
      <c r="N147" s="814">
        <v>46250</v>
      </c>
      <c r="O147" s="696">
        <v>61050</v>
      </c>
      <c r="P147" s="696">
        <v>74000</v>
      </c>
      <c r="Q147" s="696">
        <v>97700</v>
      </c>
      <c r="R147" s="814">
        <v>50850</v>
      </c>
      <c r="S147" s="696">
        <v>67150</v>
      </c>
      <c r="T147" s="696">
        <v>81350</v>
      </c>
      <c r="U147" s="696">
        <v>107400</v>
      </c>
      <c r="V147" s="843">
        <v>53300</v>
      </c>
      <c r="W147" s="844">
        <v>70400</v>
      </c>
      <c r="X147" s="844">
        <v>85300</v>
      </c>
      <c r="Y147" s="844">
        <v>112600</v>
      </c>
    </row>
    <row r="148" spans="5:25" ht="15" x14ac:dyDescent="0.25">
      <c r="E148" s="697" t="s">
        <v>352</v>
      </c>
      <c r="F148" s="696">
        <v>32550</v>
      </c>
      <c r="G148" s="696">
        <v>43000</v>
      </c>
      <c r="H148" s="696">
        <v>52100</v>
      </c>
      <c r="I148" s="696">
        <v>68750</v>
      </c>
      <c r="J148" s="814">
        <v>36400</v>
      </c>
      <c r="K148" s="696">
        <v>48050</v>
      </c>
      <c r="L148" s="696">
        <v>58250</v>
      </c>
      <c r="M148" s="696">
        <v>76900</v>
      </c>
      <c r="N148" s="814">
        <v>38550</v>
      </c>
      <c r="O148" s="696">
        <v>50900</v>
      </c>
      <c r="P148" s="696">
        <v>61700</v>
      </c>
      <c r="Q148" s="696">
        <v>81450</v>
      </c>
      <c r="R148" s="814">
        <v>41350</v>
      </c>
      <c r="S148" s="696">
        <v>54600</v>
      </c>
      <c r="T148" s="696">
        <v>66150</v>
      </c>
      <c r="U148" s="696">
        <v>87350</v>
      </c>
      <c r="V148" s="843">
        <v>42350</v>
      </c>
      <c r="W148" s="844">
        <v>55950</v>
      </c>
      <c r="X148" s="844">
        <v>67750</v>
      </c>
      <c r="Y148" s="844">
        <v>89450</v>
      </c>
    </row>
    <row r="149" spans="5:25" ht="15" x14ac:dyDescent="0.25">
      <c r="E149" s="697" t="s">
        <v>353</v>
      </c>
      <c r="F149" s="696">
        <v>32550</v>
      </c>
      <c r="G149" s="696">
        <v>43000</v>
      </c>
      <c r="H149" s="696">
        <v>52100</v>
      </c>
      <c r="I149" s="696">
        <v>68750</v>
      </c>
      <c r="J149" s="814">
        <v>36400</v>
      </c>
      <c r="K149" s="696">
        <v>48050</v>
      </c>
      <c r="L149" s="696">
        <v>58250</v>
      </c>
      <c r="M149" s="696">
        <v>76900</v>
      </c>
      <c r="N149" s="814">
        <v>38550</v>
      </c>
      <c r="O149" s="696">
        <v>50900</v>
      </c>
      <c r="P149" s="696">
        <v>61700</v>
      </c>
      <c r="Q149" s="696">
        <v>81450</v>
      </c>
      <c r="R149" s="814">
        <v>42400</v>
      </c>
      <c r="S149" s="696">
        <v>55950</v>
      </c>
      <c r="T149" s="696">
        <v>67850</v>
      </c>
      <c r="U149" s="696">
        <v>89550</v>
      </c>
      <c r="V149" s="843">
        <v>46300</v>
      </c>
      <c r="W149" s="844">
        <v>61100</v>
      </c>
      <c r="X149" s="844">
        <v>74100</v>
      </c>
      <c r="Y149" s="844">
        <v>97800</v>
      </c>
    </row>
    <row r="150" spans="5:25" ht="15" x14ac:dyDescent="0.25">
      <c r="E150" s="697" t="s">
        <v>354</v>
      </c>
      <c r="F150" s="696">
        <v>33700</v>
      </c>
      <c r="G150" s="696">
        <v>44500</v>
      </c>
      <c r="H150" s="696">
        <v>53900</v>
      </c>
      <c r="I150" s="696">
        <v>71150</v>
      </c>
      <c r="J150" s="814">
        <v>36400</v>
      </c>
      <c r="K150" s="696">
        <v>48050</v>
      </c>
      <c r="L150" s="696">
        <v>58250</v>
      </c>
      <c r="M150" s="696">
        <v>76900</v>
      </c>
      <c r="N150" s="814">
        <v>38550</v>
      </c>
      <c r="O150" s="696">
        <v>50900</v>
      </c>
      <c r="P150" s="696">
        <v>61700</v>
      </c>
      <c r="Q150" s="696">
        <v>81450</v>
      </c>
      <c r="R150" s="814">
        <v>41350</v>
      </c>
      <c r="S150" s="696">
        <v>54600</v>
      </c>
      <c r="T150" s="696">
        <v>66150</v>
      </c>
      <c r="U150" s="696">
        <v>87350</v>
      </c>
      <c r="V150" s="843">
        <v>42050</v>
      </c>
      <c r="W150" s="844">
        <v>55550</v>
      </c>
      <c r="X150" s="844">
        <v>67300</v>
      </c>
      <c r="Y150" s="844">
        <v>88850</v>
      </c>
    </row>
    <row r="151" spans="5:25" ht="15" x14ac:dyDescent="0.25">
      <c r="E151" s="697" t="s">
        <v>355</v>
      </c>
      <c r="F151" s="696">
        <v>38850</v>
      </c>
      <c r="G151" s="696">
        <v>51300</v>
      </c>
      <c r="H151" s="696">
        <v>62150</v>
      </c>
      <c r="I151" s="696">
        <v>82050</v>
      </c>
      <c r="J151" s="814">
        <v>41350</v>
      </c>
      <c r="K151" s="696">
        <v>54600</v>
      </c>
      <c r="L151" s="696">
        <v>66150</v>
      </c>
      <c r="M151" s="696">
        <v>87300</v>
      </c>
      <c r="N151" s="814">
        <v>43550</v>
      </c>
      <c r="O151" s="696">
        <v>57500</v>
      </c>
      <c r="P151" s="696">
        <v>69700</v>
      </c>
      <c r="Q151" s="696">
        <v>92000</v>
      </c>
      <c r="R151" s="814">
        <v>43650</v>
      </c>
      <c r="S151" s="696">
        <v>57650</v>
      </c>
      <c r="T151" s="696">
        <v>69850</v>
      </c>
      <c r="U151" s="696">
        <v>92250</v>
      </c>
      <c r="V151" s="843">
        <v>47650</v>
      </c>
      <c r="W151" s="844">
        <v>62900</v>
      </c>
      <c r="X151" s="844">
        <v>76250</v>
      </c>
      <c r="Y151" s="844">
        <v>100650</v>
      </c>
    </row>
    <row r="152" spans="5:25" ht="15" x14ac:dyDescent="0.25">
      <c r="E152" s="697" t="s">
        <v>356</v>
      </c>
      <c r="F152" s="696">
        <v>33900</v>
      </c>
      <c r="G152" s="696">
        <v>44750</v>
      </c>
      <c r="H152" s="696">
        <v>54250</v>
      </c>
      <c r="I152" s="696">
        <v>71600</v>
      </c>
      <c r="J152" s="814">
        <v>37900</v>
      </c>
      <c r="K152" s="696">
        <v>50050</v>
      </c>
      <c r="L152" s="696">
        <v>60650</v>
      </c>
      <c r="M152" s="696">
        <v>80050</v>
      </c>
      <c r="N152" s="814">
        <v>39950</v>
      </c>
      <c r="O152" s="696">
        <v>52750</v>
      </c>
      <c r="P152" s="696">
        <v>63900</v>
      </c>
      <c r="Q152" s="696">
        <v>84350</v>
      </c>
      <c r="R152" s="814">
        <v>41350</v>
      </c>
      <c r="S152" s="696">
        <v>54600</v>
      </c>
      <c r="T152" s="696">
        <v>66150</v>
      </c>
      <c r="U152" s="696">
        <v>87350</v>
      </c>
      <c r="V152" s="843">
        <v>43500</v>
      </c>
      <c r="W152" s="844">
        <v>57450</v>
      </c>
      <c r="X152" s="844">
        <v>69600</v>
      </c>
      <c r="Y152" s="844">
        <v>91900</v>
      </c>
    </row>
    <row r="153" spans="5:25" ht="15" x14ac:dyDescent="0.25">
      <c r="E153" s="697" t="s">
        <v>357</v>
      </c>
      <c r="F153" s="696">
        <v>36400</v>
      </c>
      <c r="G153" s="696">
        <v>48050</v>
      </c>
      <c r="H153" s="696">
        <v>58250</v>
      </c>
      <c r="I153" s="696">
        <v>76900</v>
      </c>
      <c r="J153" s="814">
        <v>39550</v>
      </c>
      <c r="K153" s="696">
        <v>52250</v>
      </c>
      <c r="L153" s="696">
        <v>63300</v>
      </c>
      <c r="M153" s="696">
        <v>83550</v>
      </c>
      <c r="N153" s="814">
        <v>41850</v>
      </c>
      <c r="O153" s="696">
        <v>55250</v>
      </c>
      <c r="P153" s="696">
        <v>66950</v>
      </c>
      <c r="Q153" s="696">
        <v>88350</v>
      </c>
      <c r="R153" s="814">
        <v>45950</v>
      </c>
      <c r="S153" s="696">
        <v>60700</v>
      </c>
      <c r="T153" s="696">
        <v>73500</v>
      </c>
      <c r="U153" s="696">
        <v>97050</v>
      </c>
      <c r="V153" s="843">
        <v>48000</v>
      </c>
      <c r="W153" s="844">
        <v>63400</v>
      </c>
      <c r="X153" s="844">
        <v>76800</v>
      </c>
      <c r="Y153" s="844">
        <v>101400</v>
      </c>
    </row>
    <row r="154" spans="5:25" ht="15" x14ac:dyDescent="0.25">
      <c r="E154" s="697" t="s">
        <v>358</v>
      </c>
      <c r="F154" s="696">
        <v>32550</v>
      </c>
      <c r="G154" s="696">
        <v>43000</v>
      </c>
      <c r="H154" s="696">
        <v>52100</v>
      </c>
      <c r="I154" s="696">
        <v>68750</v>
      </c>
      <c r="J154" s="814">
        <v>36400</v>
      </c>
      <c r="K154" s="696">
        <v>48050</v>
      </c>
      <c r="L154" s="696">
        <v>58250</v>
      </c>
      <c r="M154" s="696">
        <v>76900</v>
      </c>
      <c r="N154" s="814">
        <v>38550</v>
      </c>
      <c r="O154" s="696">
        <v>50900</v>
      </c>
      <c r="P154" s="696">
        <v>61700</v>
      </c>
      <c r="Q154" s="696">
        <v>81450</v>
      </c>
      <c r="R154" s="814">
        <v>42400</v>
      </c>
      <c r="S154" s="696">
        <v>55950</v>
      </c>
      <c r="T154" s="696">
        <v>67850</v>
      </c>
      <c r="U154" s="696">
        <v>89550</v>
      </c>
      <c r="V154" s="843">
        <v>46300</v>
      </c>
      <c r="W154" s="844">
        <v>61100</v>
      </c>
      <c r="X154" s="844">
        <v>74100</v>
      </c>
      <c r="Y154" s="844">
        <v>97800</v>
      </c>
    </row>
    <row r="155" spans="5:25" ht="15" x14ac:dyDescent="0.25">
      <c r="E155" s="697" t="s">
        <v>359</v>
      </c>
      <c r="F155" s="696">
        <v>32550</v>
      </c>
      <c r="G155" s="696">
        <v>43000</v>
      </c>
      <c r="H155" s="696">
        <v>52100</v>
      </c>
      <c r="I155" s="696">
        <v>68750</v>
      </c>
      <c r="J155" s="814">
        <v>36400</v>
      </c>
      <c r="K155" s="696">
        <v>48050</v>
      </c>
      <c r="L155" s="696">
        <v>58250</v>
      </c>
      <c r="M155" s="696">
        <v>76900</v>
      </c>
      <c r="N155" s="814">
        <v>38550</v>
      </c>
      <c r="O155" s="696">
        <v>50900</v>
      </c>
      <c r="P155" s="696">
        <v>61700</v>
      </c>
      <c r="Q155" s="696">
        <v>81450</v>
      </c>
      <c r="R155" s="814">
        <v>41350</v>
      </c>
      <c r="S155" s="696">
        <v>54600</v>
      </c>
      <c r="T155" s="696">
        <v>66150</v>
      </c>
      <c r="U155" s="696">
        <v>87350</v>
      </c>
      <c r="V155" s="843">
        <v>42700</v>
      </c>
      <c r="W155" s="844">
        <v>56400</v>
      </c>
      <c r="X155" s="844">
        <v>68300</v>
      </c>
      <c r="Y155" s="844">
        <v>90200</v>
      </c>
    </row>
    <row r="156" spans="5:25" ht="15" x14ac:dyDescent="0.25">
      <c r="E156" s="697" t="s">
        <v>360</v>
      </c>
      <c r="F156" s="696">
        <v>39700</v>
      </c>
      <c r="G156" s="696">
        <v>52450</v>
      </c>
      <c r="H156" s="696">
        <v>63500</v>
      </c>
      <c r="I156" s="696">
        <v>83800</v>
      </c>
      <c r="J156" s="814">
        <v>42550</v>
      </c>
      <c r="K156" s="696">
        <v>56200</v>
      </c>
      <c r="L156" s="696">
        <v>68100</v>
      </c>
      <c r="M156" s="696">
        <v>89900</v>
      </c>
      <c r="N156" s="814">
        <v>45050</v>
      </c>
      <c r="O156" s="696">
        <v>59500</v>
      </c>
      <c r="P156" s="696">
        <v>72100</v>
      </c>
      <c r="Q156" s="696">
        <v>95150</v>
      </c>
      <c r="R156" s="814">
        <v>45950</v>
      </c>
      <c r="S156" s="696">
        <v>60700</v>
      </c>
      <c r="T156" s="696">
        <v>73500</v>
      </c>
      <c r="U156" s="696">
        <v>97050</v>
      </c>
      <c r="V156" s="843">
        <v>45950</v>
      </c>
      <c r="W156" s="844">
        <v>60700</v>
      </c>
      <c r="X156" s="844">
        <v>73500</v>
      </c>
      <c r="Y156" s="844">
        <v>97050</v>
      </c>
    </row>
    <row r="157" spans="5:25" ht="15" x14ac:dyDescent="0.25">
      <c r="E157" s="697" t="s">
        <v>361</v>
      </c>
      <c r="F157" s="696">
        <v>35300</v>
      </c>
      <c r="G157" s="696">
        <v>46600</v>
      </c>
      <c r="H157" s="696">
        <v>56500</v>
      </c>
      <c r="I157" s="696">
        <v>74600</v>
      </c>
      <c r="J157" s="814">
        <v>36700</v>
      </c>
      <c r="K157" s="696">
        <v>48450</v>
      </c>
      <c r="L157" s="696">
        <v>58700</v>
      </c>
      <c r="M157" s="696">
        <v>77500</v>
      </c>
      <c r="N157" s="814">
        <v>38850</v>
      </c>
      <c r="O157" s="696">
        <v>51300</v>
      </c>
      <c r="P157" s="696">
        <v>62150</v>
      </c>
      <c r="Q157" s="696">
        <v>82050</v>
      </c>
      <c r="R157" s="814">
        <v>42000</v>
      </c>
      <c r="S157" s="696">
        <v>55450</v>
      </c>
      <c r="T157" s="696">
        <v>67200</v>
      </c>
      <c r="U157" s="696">
        <v>88750</v>
      </c>
      <c r="V157" s="843">
        <v>43750</v>
      </c>
      <c r="W157" s="844">
        <v>57750</v>
      </c>
      <c r="X157" s="844">
        <v>70000</v>
      </c>
      <c r="Y157" s="844">
        <v>92400</v>
      </c>
    </row>
    <row r="158" spans="5:25" ht="15" x14ac:dyDescent="0.25">
      <c r="E158" s="697" t="s">
        <v>362</v>
      </c>
      <c r="F158" s="696">
        <v>34450</v>
      </c>
      <c r="G158" s="696">
        <v>45500</v>
      </c>
      <c r="H158" s="696">
        <v>55100</v>
      </c>
      <c r="I158" s="696">
        <v>72750</v>
      </c>
      <c r="J158" s="814">
        <v>38500</v>
      </c>
      <c r="K158" s="696">
        <v>50850</v>
      </c>
      <c r="L158" s="696">
        <v>61600</v>
      </c>
      <c r="M158" s="696">
        <v>81300</v>
      </c>
      <c r="N158" s="814">
        <v>40750</v>
      </c>
      <c r="O158" s="696">
        <v>53800</v>
      </c>
      <c r="P158" s="696">
        <v>65200</v>
      </c>
      <c r="Q158" s="696">
        <v>86050</v>
      </c>
      <c r="R158" s="814">
        <v>41350</v>
      </c>
      <c r="S158" s="696">
        <v>54600</v>
      </c>
      <c r="T158" s="696">
        <v>66150</v>
      </c>
      <c r="U158" s="696">
        <v>87350</v>
      </c>
      <c r="V158" s="843">
        <v>42050</v>
      </c>
      <c r="W158" s="844">
        <v>55550</v>
      </c>
      <c r="X158" s="844">
        <v>67300</v>
      </c>
      <c r="Y158" s="844">
        <v>88850</v>
      </c>
    </row>
    <row r="159" spans="5:25" ht="15" x14ac:dyDescent="0.25">
      <c r="E159" s="697" t="s">
        <v>363</v>
      </c>
      <c r="F159" s="696">
        <v>32550</v>
      </c>
      <c r="G159" s="696">
        <v>43000</v>
      </c>
      <c r="H159" s="696">
        <v>52100</v>
      </c>
      <c r="I159" s="696">
        <v>68750</v>
      </c>
      <c r="J159" s="814">
        <v>36400</v>
      </c>
      <c r="K159" s="696">
        <v>48050</v>
      </c>
      <c r="L159" s="696">
        <v>58250</v>
      </c>
      <c r="M159" s="696">
        <v>76900</v>
      </c>
      <c r="N159" s="814">
        <v>38550</v>
      </c>
      <c r="O159" s="696">
        <v>50900</v>
      </c>
      <c r="P159" s="696">
        <v>61700</v>
      </c>
      <c r="Q159" s="696">
        <v>81450</v>
      </c>
      <c r="R159" s="814">
        <v>41350</v>
      </c>
      <c r="S159" s="696">
        <v>54600</v>
      </c>
      <c r="T159" s="696">
        <v>66150</v>
      </c>
      <c r="U159" s="696">
        <v>87350</v>
      </c>
      <c r="V159" s="843">
        <v>42350</v>
      </c>
      <c r="W159" s="844">
        <v>55950</v>
      </c>
      <c r="X159" s="844">
        <v>67750</v>
      </c>
      <c r="Y159" s="844">
        <v>89450</v>
      </c>
    </row>
    <row r="160" spans="5:25" ht="15" x14ac:dyDescent="0.25">
      <c r="E160" s="697" t="s">
        <v>364</v>
      </c>
      <c r="F160" s="696">
        <v>34050</v>
      </c>
      <c r="G160" s="696">
        <v>44950</v>
      </c>
      <c r="H160" s="696">
        <v>54500</v>
      </c>
      <c r="I160" s="696">
        <v>71950</v>
      </c>
      <c r="J160" s="814">
        <v>36700</v>
      </c>
      <c r="K160" s="696">
        <v>48450</v>
      </c>
      <c r="L160" s="696">
        <v>58700</v>
      </c>
      <c r="M160" s="696">
        <v>77500</v>
      </c>
      <c r="N160" s="814">
        <v>38850</v>
      </c>
      <c r="O160" s="696">
        <v>51300</v>
      </c>
      <c r="P160" s="696">
        <v>62150</v>
      </c>
      <c r="Q160" s="696">
        <v>82050</v>
      </c>
      <c r="R160" s="814">
        <v>41350</v>
      </c>
      <c r="S160" s="696">
        <v>54600</v>
      </c>
      <c r="T160" s="696">
        <v>66150</v>
      </c>
      <c r="U160" s="696">
        <v>87350</v>
      </c>
      <c r="V160" s="843">
        <v>42050</v>
      </c>
      <c r="W160" s="844">
        <v>55550</v>
      </c>
      <c r="X160" s="844">
        <v>67300</v>
      </c>
      <c r="Y160" s="844">
        <v>88850</v>
      </c>
    </row>
    <row r="161" spans="5:25" ht="15" x14ac:dyDescent="0.25">
      <c r="E161" s="697" t="s">
        <v>365</v>
      </c>
      <c r="F161" s="696">
        <v>33150</v>
      </c>
      <c r="G161" s="696">
        <v>43800</v>
      </c>
      <c r="H161" s="696">
        <v>53050</v>
      </c>
      <c r="I161" s="696">
        <v>70050</v>
      </c>
      <c r="J161" s="814">
        <v>36550</v>
      </c>
      <c r="K161" s="696">
        <v>48250</v>
      </c>
      <c r="L161" s="696">
        <v>58500</v>
      </c>
      <c r="M161" s="696">
        <v>77200</v>
      </c>
      <c r="N161" s="814">
        <v>38700</v>
      </c>
      <c r="O161" s="696">
        <v>51100</v>
      </c>
      <c r="P161" s="696">
        <v>61900</v>
      </c>
      <c r="Q161" s="696">
        <v>81700</v>
      </c>
      <c r="R161" s="814">
        <v>41350</v>
      </c>
      <c r="S161" s="696">
        <v>54600</v>
      </c>
      <c r="T161" s="696">
        <v>66150</v>
      </c>
      <c r="U161" s="696">
        <v>87350</v>
      </c>
      <c r="V161" s="843">
        <v>42050</v>
      </c>
      <c r="W161" s="844">
        <v>55550</v>
      </c>
      <c r="X161" s="844">
        <v>67300</v>
      </c>
      <c r="Y161" s="844">
        <v>88850</v>
      </c>
    </row>
    <row r="162" spans="5:25" ht="15" x14ac:dyDescent="0.25">
      <c r="E162" s="697" t="s">
        <v>366</v>
      </c>
      <c r="F162" s="696">
        <v>39700</v>
      </c>
      <c r="G162" s="696">
        <v>52450</v>
      </c>
      <c r="H162" s="696">
        <v>63500</v>
      </c>
      <c r="I162" s="696">
        <v>83800</v>
      </c>
      <c r="J162" s="814">
        <v>42550</v>
      </c>
      <c r="K162" s="696">
        <v>56200</v>
      </c>
      <c r="L162" s="696">
        <v>68100</v>
      </c>
      <c r="M162" s="696">
        <v>89900</v>
      </c>
      <c r="N162" s="814">
        <v>45050</v>
      </c>
      <c r="O162" s="696">
        <v>59500</v>
      </c>
      <c r="P162" s="696">
        <v>72100</v>
      </c>
      <c r="Q162" s="696">
        <v>95150</v>
      </c>
      <c r="R162" s="814">
        <v>45950</v>
      </c>
      <c r="S162" s="696">
        <v>60700</v>
      </c>
      <c r="T162" s="696">
        <v>73500</v>
      </c>
      <c r="U162" s="696">
        <v>97050</v>
      </c>
      <c r="V162" s="843">
        <v>45950</v>
      </c>
      <c r="W162" s="844">
        <v>60700</v>
      </c>
      <c r="X162" s="844">
        <v>73500</v>
      </c>
      <c r="Y162" s="844">
        <v>97050</v>
      </c>
    </row>
    <row r="163" spans="5:25" ht="15" x14ac:dyDescent="0.25">
      <c r="E163" s="697" t="s">
        <v>367</v>
      </c>
      <c r="F163" s="696">
        <v>32550</v>
      </c>
      <c r="G163" s="696">
        <v>43000</v>
      </c>
      <c r="H163" s="696">
        <v>52100</v>
      </c>
      <c r="I163" s="696">
        <v>68750</v>
      </c>
      <c r="J163" s="814">
        <v>36400</v>
      </c>
      <c r="K163" s="696">
        <v>48050</v>
      </c>
      <c r="L163" s="696">
        <v>58250</v>
      </c>
      <c r="M163" s="696">
        <v>76900</v>
      </c>
      <c r="N163" s="814">
        <v>38550</v>
      </c>
      <c r="O163" s="696">
        <v>50900</v>
      </c>
      <c r="P163" s="696">
        <v>61700</v>
      </c>
      <c r="Q163" s="696">
        <v>81450</v>
      </c>
      <c r="R163" s="814">
        <v>42400</v>
      </c>
      <c r="S163" s="696">
        <v>55950</v>
      </c>
      <c r="T163" s="696">
        <v>67850</v>
      </c>
      <c r="U163" s="696">
        <v>89550</v>
      </c>
      <c r="V163" s="843">
        <v>44250</v>
      </c>
      <c r="W163" s="844">
        <v>58450</v>
      </c>
      <c r="X163" s="844">
        <v>70800</v>
      </c>
      <c r="Y163" s="844">
        <v>93500</v>
      </c>
    </row>
    <row r="164" spans="5:25" ht="15" x14ac:dyDescent="0.25">
      <c r="E164" s="697" t="s">
        <v>368</v>
      </c>
      <c r="F164" s="696">
        <v>34250</v>
      </c>
      <c r="G164" s="696">
        <v>45250</v>
      </c>
      <c r="H164" s="696">
        <v>54800</v>
      </c>
      <c r="I164" s="696">
        <v>72350</v>
      </c>
      <c r="J164" s="814">
        <v>37150</v>
      </c>
      <c r="K164" s="696">
        <v>49050</v>
      </c>
      <c r="L164" s="696">
        <v>59450</v>
      </c>
      <c r="M164" s="696">
        <v>78450</v>
      </c>
      <c r="N164" s="814">
        <v>39300</v>
      </c>
      <c r="O164" s="696">
        <v>51900</v>
      </c>
      <c r="P164" s="696">
        <v>62900</v>
      </c>
      <c r="Q164" s="696">
        <v>83050</v>
      </c>
      <c r="R164" s="814">
        <v>41350</v>
      </c>
      <c r="S164" s="696">
        <v>54600</v>
      </c>
      <c r="T164" s="696">
        <v>66150</v>
      </c>
      <c r="U164" s="696">
        <v>87350</v>
      </c>
      <c r="V164" s="843">
        <v>42050</v>
      </c>
      <c r="W164" s="844">
        <v>55550</v>
      </c>
      <c r="X164" s="844">
        <v>67300</v>
      </c>
      <c r="Y164" s="844">
        <v>88850</v>
      </c>
    </row>
    <row r="165" spans="5:25" ht="15" x14ac:dyDescent="0.25">
      <c r="E165" s="697" t="s">
        <v>369</v>
      </c>
      <c r="F165" s="696">
        <v>33300</v>
      </c>
      <c r="G165" s="696">
        <v>44000</v>
      </c>
      <c r="H165" s="696">
        <v>53300</v>
      </c>
      <c r="I165" s="696">
        <v>70350</v>
      </c>
      <c r="J165" s="814">
        <v>36700</v>
      </c>
      <c r="K165" s="696">
        <v>48450</v>
      </c>
      <c r="L165" s="696">
        <v>58700</v>
      </c>
      <c r="M165" s="696">
        <v>77500</v>
      </c>
      <c r="N165" s="814">
        <v>38850</v>
      </c>
      <c r="O165" s="696">
        <v>51300</v>
      </c>
      <c r="P165" s="696">
        <v>62150</v>
      </c>
      <c r="Q165" s="696">
        <v>82050</v>
      </c>
      <c r="R165" s="814">
        <v>41350</v>
      </c>
      <c r="S165" s="696">
        <v>54600</v>
      </c>
      <c r="T165" s="696">
        <v>66150</v>
      </c>
      <c r="U165" s="696">
        <v>87350</v>
      </c>
      <c r="V165" s="843">
        <v>42050</v>
      </c>
      <c r="W165" s="844">
        <v>55550</v>
      </c>
      <c r="X165" s="844">
        <v>67300</v>
      </c>
      <c r="Y165" s="844">
        <v>88850</v>
      </c>
    </row>
    <row r="166" spans="5:25" ht="15" x14ac:dyDescent="0.25">
      <c r="E166" s="697" t="s">
        <v>370</v>
      </c>
      <c r="F166" s="696">
        <v>35100</v>
      </c>
      <c r="G166" s="696">
        <v>46350</v>
      </c>
      <c r="H166" s="696">
        <v>56150</v>
      </c>
      <c r="I166" s="696">
        <v>74100</v>
      </c>
      <c r="J166" s="814">
        <v>39250</v>
      </c>
      <c r="K166" s="696">
        <v>51850</v>
      </c>
      <c r="L166" s="696">
        <v>62800</v>
      </c>
      <c r="M166" s="696">
        <v>82900</v>
      </c>
      <c r="N166" s="814">
        <v>41200</v>
      </c>
      <c r="O166" s="696">
        <v>54400</v>
      </c>
      <c r="P166" s="696">
        <v>65900</v>
      </c>
      <c r="Q166" s="696">
        <v>87000</v>
      </c>
      <c r="R166" s="814">
        <v>42600</v>
      </c>
      <c r="S166" s="696">
        <v>56250</v>
      </c>
      <c r="T166" s="696">
        <v>68150</v>
      </c>
      <c r="U166" s="696">
        <v>90000</v>
      </c>
      <c r="V166" s="843">
        <v>45950</v>
      </c>
      <c r="W166" s="844">
        <v>60700</v>
      </c>
      <c r="X166" s="844">
        <v>73500</v>
      </c>
      <c r="Y166" s="844">
        <v>97050</v>
      </c>
    </row>
    <row r="167" spans="5:25" ht="15" x14ac:dyDescent="0.25">
      <c r="E167" s="697" t="s">
        <v>371</v>
      </c>
      <c r="F167" s="696">
        <v>37200</v>
      </c>
      <c r="G167" s="696">
        <v>49150</v>
      </c>
      <c r="H167" s="696">
        <v>59500</v>
      </c>
      <c r="I167" s="696">
        <v>78550</v>
      </c>
      <c r="J167" s="814">
        <v>41600</v>
      </c>
      <c r="K167" s="696">
        <v>54950</v>
      </c>
      <c r="L167" s="696">
        <v>66550</v>
      </c>
      <c r="M167" s="696">
        <v>87850</v>
      </c>
      <c r="N167" s="814">
        <v>41600</v>
      </c>
      <c r="O167" s="696">
        <v>54950</v>
      </c>
      <c r="P167" s="696">
        <v>66550</v>
      </c>
      <c r="Q167" s="696">
        <v>87850</v>
      </c>
      <c r="R167" s="814">
        <v>41600</v>
      </c>
      <c r="S167" s="696">
        <v>54950</v>
      </c>
      <c r="T167" s="696">
        <v>66550</v>
      </c>
      <c r="U167" s="696">
        <v>87850</v>
      </c>
      <c r="V167" s="843">
        <v>42050</v>
      </c>
      <c r="W167" s="844">
        <v>55550</v>
      </c>
      <c r="X167" s="844">
        <v>67300</v>
      </c>
      <c r="Y167" s="844">
        <v>88850</v>
      </c>
    </row>
    <row r="168" spans="5:25" ht="15" x14ac:dyDescent="0.25">
      <c r="E168" s="697" t="s">
        <v>372</v>
      </c>
      <c r="F168" s="696">
        <v>37900</v>
      </c>
      <c r="G168" s="696">
        <v>50050</v>
      </c>
      <c r="H168" s="696">
        <v>60650</v>
      </c>
      <c r="I168" s="696">
        <v>80050</v>
      </c>
      <c r="J168" s="814">
        <v>42400</v>
      </c>
      <c r="K168" s="696">
        <v>56000</v>
      </c>
      <c r="L168" s="696">
        <v>67850</v>
      </c>
      <c r="M168" s="696">
        <v>89550</v>
      </c>
      <c r="N168" s="814">
        <v>42550</v>
      </c>
      <c r="O168" s="696">
        <v>56200</v>
      </c>
      <c r="P168" s="696">
        <v>68100</v>
      </c>
      <c r="Q168" s="696">
        <v>89900</v>
      </c>
      <c r="R168" s="814">
        <v>45750</v>
      </c>
      <c r="S168" s="696">
        <v>60400</v>
      </c>
      <c r="T168" s="696">
        <v>73200</v>
      </c>
      <c r="U168" s="696">
        <v>96650</v>
      </c>
      <c r="V168" s="843">
        <v>46900</v>
      </c>
      <c r="W168" s="844">
        <v>61950</v>
      </c>
      <c r="X168" s="844">
        <v>75050</v>
      </c>
      <c r="Y168" s="844">
        <v>99100</v>
      </c>
    </row>
    <row r="169" spans="5:25" ht="15" x14ac:dyDescent="0.25">
      <c r="E169" s="697" t="s">
        <v>373</v>
      </c>
      <c r="F169" s="696">
        <v>32550</v>
      </c>
      <c r="G169" s="696">
        <v>43000</v>
      </c>
      <c r="H169" s="696">
        <v>52100</v>
      </c>
      <c r="I169" s="696">
        <v>68750</v>
      </c>
      <c r="J169" s="814">
        <v>36400</v>
      </c>
      <c r="K169" s="696">
        <v>48050</v>
      </c>
      <c r="L169" s="696">
        <v>58250</v>
      </c>
      <c r="M169" s="696">
        <v>76900</v>
      </c>
      <c r="N169" s="814">
        <v>38550</v>
      </c>
      <c r="O169" s="696">
        <v>50900</v>
      </c>
      <c r="P169" s="696">
        <v>61700</v>
      </c>
      <c r="Q169" s="696">
        <v>81450</v>
      </c>
      <c r="R169" s="814">
        <v>41350</v>
      </c>
      <c r="S169" s="696">
        <v>54600</v>
      </c>
      <c r="T169" s="696">
        <v>66150</v>
      </c>
      <c r="U169" s="696">
        <v>87350</v>
      </c>
      <c r="V169" s="843">
        <v>42050</v>
      </c>
      <c r="W169" s="844">
        <v>55550</v>
      </c>
      <c r="X169" s="844">
        <v>67300</v>
      </c>
      <c r="Y169" s="844">
        <v>88850</v>
      </c>
    </row>
    <row r="170" spans="5:25" ht="15" x14ac:dyDescent="0.25">
      <c r="E170" s="697" t="s">
        <v>374</v>
      </c>
      <c r="F170" s="696">
        <v>38850</v>
      </c>
      <c r="G170" s="696">
        <v>51300</v>
      </c>
      <c r="H170" s="696">
        <v>62150</v>
      </c>
      <c r="I170" s="696">
        <v>82050</v>
      </c>
      <c r="J170" s="814">
        <v>41350</v>
      </c>
      <c r="K170" s="696">
        <v>54600</v>
      </c>
      <c r="L170" s="696">
        <v>66150</v>
      </c>
      <c r="M170" s="696">
        <v>87300</v>
      </c>
      <c r="N170" s="814">
        <v>43550</v>
      </c>
      <c r="O170" s="696">
        <v>57500</v>
      </c>
      <c r="P170" s="696">
        <v>69700</v>
      </c>
      <c r="Q170" s="696">
        <v>92000</v>
      </c>
      <c r="R170" s="814">
        <v>43650</v>
      </c>
      <c r="S170" s="696">
        <v>57650</v>
      </c>
      <c r="T170" s="696">
        <v>69850</v>
      </c>
      <c r="U170" s="696">
        <v>92250</v>
      </c>
      <c r="V170" s="843">
        <v>47650</v>
      </c>
      <c r="W170" s="844">
        <v>62900</v>
      </c>
      <c r="X170" s="844">
        <v>76250</v>
      </c>
      <c r="Y170" s="844">
        <v>100650</v>
      </c>
    </row>
    <row r="171" spans="5:25" ht="15" x14ac:dyDescent="0.25">
      <c r="E171" s="697" t="s">
        <v>375</v>
      </c>
      <c r="F171" s="696">
        <v>36600</v>
      </c>
      <c r="G171" s="696">
        <v>48350</v>
      </c>
      <c r="H171" s="696">
        <v>58550</v>
      </c>
      <c r="I171" s="696">
        <v>77300</v>
      </c>
      <c r="J171" s="814">
        <v>40700</v>
      </c>
      <c r="K171" s="696">
        <v>53750</v>
      </c>
      <c r="L171" s="696">
        <v>65100</v>
      </c>
      <c r="M171" s="696">
        <v>85950</v>
      </c>
      <c r="N171" s="814">
        <v>43100</v>
      </c>
      <c r="O171" s="696">
        <v>56900</v>
      </c>
      <c r="P171" s="696">
        <v>68950</v>
      </c>
      <c r="Q171" s="696">
        <v>91000</v>
      </c>
      <c r="R171" s="814">
        <v>47400</v>
      </c>
      <c r="S171" s="696">
        <v>62550</v>
      </c>
      <c r="T171" s="696">
        <v>75800</v>
      </c>
      <c r="U171" s="696">
        <v>100100</v>
      </c>
      <c r="V171" s="843">
        <v>51750</v>
      </c>
      <c r="W171" s="844">
        <v>68300</v>
      </c>
      <c r="X171" s="844">
        <v>82750</v>
      </c>
      <c r="Y171" s="844">
        <v>109250</v>
      </c>
    </row>
    <row r="172" spans="5:25" ht="15" x14ac:dyDescent="0.25">
      <c r="E172" s="697" t="s">
        <v>376</v>
      </c>
      <c r="F172" s="696">
        <v>32550</v>
      </c>
      <c r="G172" s="696">
        <v>43000</v>
      </c>
      <c r="H172" s="696">
        <v>52100</v>
      </c>
      <c r="I172" s="696">
        <v>68750</v>
      </c>
      <c r="J172" s="814">
        <v>36400</v>
      </c>
      <c r="K172" s="696">
        <v>48050</v>
      </c>
      <c r="L172" s="696">
        <v>58250</v>
      </c>
      <c r="M172" s="696">
        <v>76900</v>
      </c>
      <c r="N172" s="814">
        <v>38550</v>
      </c>
      <c r="O172" s="696">
        <v>50900</v>
      </c>
      <c r="P172" s="696">
        <v>61700</v>
      </c>
      <c r="Q172" s="696">
        <v>81450</v>
      </c>
      <c r="R172" s="814">
        <v>41350</v>
      </c>
      <c r="S172" s="696">
        <v>54600</v>
      </c>
      <c r="T172" s="696">
        <v>66150</v>
      </c>
      <c r="U172" s="696">
        <v>87350</v>
      </c>
      <c r="V172" s="843">
        <v>42050</v>
      </c>
      <c r="W172" s="844">
        <v>55550</v>
      </c>
      <c r="X172" s="844">
        <v>67300</v>
      </c>
      <c r="Y172" s="844">
        <v>88850</v>
      </c>
    </row>
    <row r="173" spans="5:25" ht="15" x14ac:dyDescent="0.25">
      <c r="E173" s="697" t="s">
        <v>377</v>
      </c>
      <c r="F173" s="696">
        <v>32550</v>
      </c>
      <c r="G173" s="696">
        <v>43000</v>
      </c>
      <c r="H173" s="696">
        <v>52100</v>
      </c>
      <c r="I173" s="696">
        <v>68750</v>
      </c>
      <c r="J173" s="814">
        <v>36400</v>
      </c>
      <c r="K173" s="696">
        <v>48050</v>
      </c>
      <c r="L173" s="696">
        <v>58250</v>
      </c>
      <c r="M173" s="696">
        <v>76900</v>
      </c>
      <c r="N173" s="814">
        <v>38550</v>
      </c>
      <c r="O173" s="696">
        <v>50900</v>
      </c>
      <c r="P173" s="696">
        <v>61700</v>
      </c>
      <c r="Q173" s="696">
        <v>81450</v>
      </c>
      <c r="R173" s="814">
        <v>41350</v>
      </c>
      <c r="S173" s="696">
        <v>54600</v>
      </c>
      <c r="T173" s="696">
        <v>66150</v>
      </c>
      <c r="U173" s="696">
        <v>87350</v>
      </c>
      <c r="V173" s="843">
        <v>45150</v>
      </c>
      <c r="W173" s="844">
        <v>59600</v>
      </c>
      <c r="X173" s="844">
        <v>72250</v>
      </c>
      <c r="Y173" s="844">
        <v>95400</v>
      </c>
    </row>
    <row r="174" spans="5:25" ht="15" x14ac:dyDescent="0.25">
      <c r="E174" s="697" t="s">
        <v>378</v>
      </c>
      <c r="F174" s="696">
        <v>33550</v>
      </c>
      <c r="G174" s="696">
        <v>44300</v>
      </c>
      <c r="H174" s="696">
        <v>53700</v>
      </c>
      <c r="I174" s="696">
        <v>70900</v>
      </c>
      <c r="J174" s="814">
        <v>36700</v>
      </c>
      <c r="K174" s="696">
        <v>48450</v>
      </c>
      <c r="L174" s="696">
        <v>58700</v>
      </c>
      <c r="M174" s="696">
        <v>77500</v>
      </c>
      <c r="N174" s="814">
        <v>38850</v>
      </c>
      <c r="O174" s="696">
        <v>51300</v>
      </c>
      <c r="P174" s="696">
        <v>62150</v>
      </c>
      <c r="Q174" s="696">
        <v>82050</v>
      </c>
      <c r="R174" s="814">
        <v>42400</v>
      </c>
      <c r="S174" s="696">
        <v>56000</v>
      </c>
      <c r="T174" s="696">
        <v>67850</v>
      </c>
      <c r="U174" s="696">
        <v>89600</v>
      </c>
      <c r="V174" s="843">
        <v>45000</v>
      </c>
      <c r="W174" s="844">
        <v>59400</v>
      </c>
      <c r="X174" s="844">
        <v>72000</v>
      </c>
      <c r="Y174" s="844">
        <v>95050</v>
      </c>
    </row>
    <row r="175" spans="5:25" ht="15" x14ac:dyDescent="0.25">
      <c r="E175" s="697" t="s">
        <v>379</v>
      </c>
      <c r="F175" s="696">
        <v>32550</v>
      </c>
      <c r="G175" s="696">
        <v>43000</v>
      </c>
      <c r="H175" s="696">
        <v>52100</v>
      </c>
      <c r="I175" s="696">
        <v>68750</v>
      </c>
      <c r="J175" s="814">
        <v>36400</v>
      </c>
      <c r="K175" s="696">
        <v>48050</v>
      </c>
      <c r="L175" s="696">
        <v>58250</v>
      </c>
      <c r="M175" s="696">
        <v>76900</v>
      </c>
      <c r="N175" s="814">
        <v>38550</v>
      </c>
      <c r="O175" s="696">
        <v>50900</v>
      </c>
      <c r="P175" s="696">
        <v>61700</v>
      </c>
      <c r="Q175" s="696">
        <v>81450</v>
      </c>
      <c r="R175" s="814">
        <v>41350</v>
      </c>
      <c r="S175" s="696">
        <v>54600</v>
      </c>
      <c r="T175" s="696">
        <v>66150</v>
      </c>
      <c r="U175" s="696">
        <v>87350</v>
      </c>
      <c r="V175" s="843">
        <v>42050</v>
      </c>
      <c r="W175" s="844">
        <v>55550</v>
      </c>
      <c r="X175" s="844">
        <v>67300</v>
      </c>
      <c r="Y175" s="844">
        <v>88850</v>
      </c>
    </row>
    <row r="176" spans="5:25" ht="15" x14ac:dyDescent="0.25">
      <c r="E176" s="697" t="s">
        <v>380</v>
      </c>
      <c r="F176" s="696">
        <v>34750</v>
      </c>
      <c r="G176" s="696">
        <v>45900</v>
      </c>
      <c r="H176" s="696">
        <v>55600</v>
      </c>
      <c r="I176" s="696">
        <v>73400</v>
      </c>
      <c r="J176" s="814">
        <v>36700</v>
      </c>
      <c r="K176" s="696">
        <v>48450</v>
      </c>
      <c r="L176" s="696">
        <v>58700</v>
      </c>
      <c r="M176" s="696">
        <v>77500</v>
      </c>
      <c r="N176" s="814">
        <v>38850</v>
      </c>
      <c r="O176" s="696">
        <v>51300</v>
      </c>
      <c r="P176" s="696">
        <v>62150</v>
      </c>
      <c r="Q176" s="696">
        <v>82050</v>
      </c>
      <c r="R176" s="814">
        <v>41650</v>
      </c>
      <c r="S176" s="696">
        <v>55000</v>
      </c>
      <c r="T176" s="696">
        <v>66650</v>
      </c>
      <c r="U176" s="696">
        <v>88000</v>
      </c>
      <c r="V176" s="843">
        <v>42050</v>
      </c>
      <c r="W176" s="844">
        <v>55550</v>
      </c>
      <c r="X176" s="844">
        <v>67300</v>
      </c>
      <c r="Y176" s="844">
        <v>88850</v>
      </c>
    </row>
    <row r="177" spans="5:25" ht="15" x14ac:dyDescent="0.25">
      <c r="E177" s="697" t="s">
        <v>381</v>
      </c>
      <c r="F177" s="696">
        <v>36550</v>
      </c>
      <c r="G177" s="696">
        <v>48250</v>
      </c>
      <c r="H177" s="696">
        <v>58500</v>
      </c>
      <c r="I177" s="696">
        <v>77200</v>
      </c>
      <c r="J177" s="814">
        <v>38550</v>
      </c>
      <c r="K177" s="696">
        <v>50900</v>
      </c>
      <c r="L177" s="696">
        <v>61700</v>
      </c>
      <c r="M177" s="696">
        <v>81450</v>
      </c>
      <c r="N177" s="814">
        <v>40800</v>
      </c>
      <c r="O177" s="696">
        <v>53900</v>
      </c>
      <c r="P177" s="696">
        <v>65300</v>
      </c>
      <c r="Q177" s="696">
        <v>86200</v>
      </c>
      <c r="R177" s="814">
        <v>43900</v>
      </c>
      <c r="S177" s="696">
        <v>57950</v>
      </c>
      <c r="T177" s="696">
        <v>70250</v>
      </c>
      <c r="U177" s="696">
        <v>92750</v>
      </c>
      <c r="V177" s="843">
        <v>44500</v>
      </c>
      <c r="W177" s="844">
        <v>58750</v>
      </c>
      <c r="X177" s="844">
        <v>71200</v>
      </c>
      <c r="Y177" s="844">
        <v>94000</v>
      </c>
    </row>
    <row r="178" spans="5:25" ht="15" x14ac:dyDescent="0.25">
      <c r="E178" s="697" t="s">
        <v>382</v>
      </c>
      <c r="F178" s="696">
        <v>37250</v>
      </c>
      <c r="G178" s="696">
        <v>49200</v>
      </c>
      <c r="H178" s="696">
        <v>59600</v>
      </c>
      <c r="I178" s="696">
        <v>78650</v>
      </c>
      <c r="J178" s="814">
        <v>39900</v>
      </c>
      <c r="K178" s="696">
        <v>52700</v>
      </c>
      <c r="L178" s="696">
        <v>63850</v>
      </c>
      <c r="M178" s="696">
        <v>84300</v>
      </c>
      <c r="N178" s="814">
        <v>42250</v>
      </c>
      <c r="O178" s="696">
        <v>55800</v>
      </c>
      <c r="P178" s="696">
        <v>67600</v>
      </c>
      <c r="Q178" s="696">
        <v>89250</v>
      </c>
      <c r="R178" s="814">
        <v>46450</v>
      </c>
      <c r="S178" s="696">
        <v>61350</v>
      </c>
      <c r="T178" s="696">
        <v>74300</v>
      </c>
      <c r="U178" s="696">
        <v>98100</v>
      </c>
      <c r="V178" s="843">
        <v>50700</v>
      </c>
      <c r="W178" s="844">
        <v>66950</v>
      </c>
      <c r="X178" s="844">
        <v>81100</v>
      </c>
      <c r="Y178" s="844">
        <v>107100</v>
      </c>
    </row>
    <row r="179" spans="5:25" ht="15" x14ac:dyDescent="0.25">
      <c r="E179" s="697" t="s">
        <v>383</v>
      </c>
      <c r="F179" s="696">
        <v>36900</v>
      </c>
      <c r="G179" s="696">
        <v>48750</v>
      </c>
      <c r="H179" s="696">
        <v>59050</v>
      </c>
      <c r="I179" s="696">
        <v>77950</v>
      </c>
      <c r="J179" s="814">
        <v>41200</v>
      </c>
      <c r="K179" s="696">
        <v>54400</v>
      </c>
      <c r="L179" s="696">
        <v>65900</v>
      </c>
      <c r="M179" s="696">
        <v>87000</v>
      </c>
      <c r="N179" s="814">
        <v>43600</v>
      </c>
      <c r="O179" s="696">
        <v>57600</v>
      </c>
      <c r="P179" s="696">
        <v>69750</v>
      </c>
      <c r="Q179" s="696">
        <v>92050</v>
      </c>
      <c r="R179" s="814">
        <v>47550</v>
      </c>
      <c r="S179" s="696">
        <v>62800</v>
      </c>
      <c r="T179" s="696">
        <v>76100</v>
      </c>
      <c r="U179" s="696">
        <v>100500</v>
      </c>
      <c r="V179" s="843">
        <v>49750</v>
      </c>
      <c r="W179" s="844">
        <v>65700</v>
      </c>
      <c r="X179" s="844">
        <v>79600</v>
      </c>
      <c r="Y179" s="844">
        <v>105100</v>
      </c>
    </row>
    <row r="180" spans="5:25" ht="15" x14ac:dyDescent="0.25">
      <c r="E180" s="697" t="s">
        <v>384</v>
      </c>
      <c r="F180" s="696">
        <v>38850</v>
      </c>
      <c r="G180" s="696">
        <v>51300</v>
      </c>
      <c r="H180" s="696">
        <v>62150</v>
      </c>
      <c r="I180" s="696">
        <v>82050</v>
      </c>
      <c r="J180" s="814">
        <v>41350</v>
      </c>
      <c r="K180" s="696">
        <v>54600</v>
      </c>
      <c r="L180" s="696">
        <v>66150</v>
      </c>
      <c r="M180" s="696">
        <v>87300</v>
      </c>
      <c r="N180" s="814">
        <v>43550</v>
      </c>
      <c r="O180" s="696">
        <v>57500</v>
      </c>
      <c r="P180" s="696">
        <v>69700</v>
      </c>
      <c r="Q180" s="696">
        <v>92000</v>
      </c>
      <c r="R180" s="814">
        <v>43650</v>
      </c>
      <c r="S180" s="696">
        <v>57650</v>
      </c>
      <c r="T180" s="696">
        <v>69850</v>
      </c>
      <c r="U180" s="696">
        <v>92250</v>
      </c>
      <c r="V180" s="843">
        <v>47650</v>
      </c>
      <c r="W180" s="844">
        <v>62900</v>
      </c>
      <c r="X180" s="844">
        <v>76250</v>
      </c>
      <c r="Y180" s="844">
        <v>100650</v>
      </c>
    </row>
    <row r="181" spans="5:25" ht="15" x14ac:dyDescent="0.25">
      <c r="E181" s="697" t="s">
        <v>385</v>
      </c>
      <c r="F181" s="696">
        <v>43700</v>
      </c>
      <c r="G181" s="696">
        <v>57700</v>
      </c>
      <c r="H181" s="696">
        <v>69900</v>
      </c>
      <c r="I181" s="696">
        <v>92250</v>
      </c>
      <c r="J181" s="814">
        <v>44000</v>
      </c>
      <c r="K181" s="696">
        <v>58100</v>
      </c>
      <c r="L181" s="696">
        <v>70400</v>
      </c>
      <c r="M181" s="696">
        <v>92950</v>
      </c>
      <c r="N181" s="814">
        <v>46600</v>
      </c>
      <c r="O181" s="696">
        <v>61550</v>
      </c>
      <c r="P181" s="696">
        <v>74550</v>
      </c>
      <c r="Q181" s="696">
        <v>98400</v>
      </c>
      <c r="R181" s="814">
        <v>46600</v>
      </c>
      <c r="S181" s="696">
        <v>61550</v>
      </c>
      <c r="T181" s="696">
        <v>74550</v>
      </c>
      <c r="U181" s="696">
        <v>98450</v>
      </c>
      <c r="V181" s="843">
        <v>46600</v>
      </c>
      <c r="W181" s="844">
        <v>61550</v>
      </c>
      <c r="X181" s="844">
        <v>74550</v>
      </c>
      <c r="Y181" s="844">
        <v>98450</v>
      </c>
    </row>
    <row r="182" spans="5:25" ht="15" x14ac:dyDescent="0.25">
      <c r="E182" s="697" t="s">
        <v>386</v>
      </c>
      <c r="F182" s="696">
        <v>32550</v>
      </c>
      <c r="G182" s="696">
        <v>43000</v>
      </c>
      <c r="H182" s="696">
        <v>52100</v>
      </c>
      <c r="I182" s="696">
        <v>68750</v>
      </c>
      <c r="J182" s="814">
        <v>36400</v>
      </c>
      <c r="K182" s="696">
        <v>48050</v>
      </c>
      <c r="L182" s="696">
        <v>58250</v>
      </c>
      <c r="M182" s="696">
        <v>76900</v>
      </c>
      <c r="N182" s="814">
        <v>38550</v>
      </c>
      <c r="O182" s="696">
        <v>50900</v>
      </c>
      <c r="P182" s="696">
        <v>61700</v>
      </c>
      <c r="Q182" s="696">
        <v>81450</v>
      </c>
      <c r="R182" s="814">
        <v>41350</v>
      </c>
      <c r="S182" s="696">
        <v>54600</v>
      </c>
      <c r="T182" s="696">
        <v>66150</v>
      </c>
      <c r="U182" s="696">
        <v>87350</v>
      </c>
      <c r="V182" s="843">
        <v>42800</v>
      </c>
      <c r="W182" s="844">
        <v>56500</v>
      </c>
      <c r="X182" s="844">
        <v>68500</v>
      </c>
      <c r="Y182" s="844">
        <v>90450</v>
      </c>
    </row>
    <row r="183" spans="5:25" ht="15" x14ac:dyDescent="0.25">
      <c r="E183" s="697" t="s">
        <v>387</v>
      </c>
      <c r="F183" s="696">
        <v>34050</v>
      </c>
      <c r="G183" s="696">
        <v>44950</v>
      </c>
      <c r="H183" s="696">
        <v>54500</v>
      </c>
      <c r="I183" s="696">
        <v>71950</v>
      </c>
      <c r="J183" s="814">
        <v>36700</v>
      </c>
      <c r="K183" s="696">
        <v>48450</v>
      </c>
      <c r="L183" s="696">
        <v>58700</v>
      </c>
      <c r="M183" s="696">
        <v>77500</v>
      </c>
      <c r="N183" s="814">
        <v>38850</v>
      </c>
      <c r="O183" s="696">
        <v>51300</v>
      </c>
      <c r="P183" s="696">
        <v>62150</v>
      </c>
      <c r="Q183" s="696">
        <v>82050</v>
      </c>
      <c r="R183" s="814">
        <v>42700</v>
      </c>
      <c r="S183" s="696">
        <v>56400</v>
      </c>
      <c r="T183" s="696">
        <v>68300</v>
      </c>
      <c r="U183" s="696">
        <v>90200</v>
      </c>
      <c r="V183" s="843">
        <v>46600</v>
      </c>
      <c r="W183" s="844">
        <v>61550</v>
      </c>
      <c r="X183" s="844">
        <v>74550</v>
      </c>
      <c r="Y183" s="844">
        <v>98450</v>
      </c>
    </row>
    <row r="184" spans="5:25" ht="15" x14ac:dyDescent="0.25">
      <c r="E184" s="697" t="s">
        <v>388</v>
      </c>
      <c r="F184" s="696">
        <v>32550</v>
      </c>
      <c r="G184" s="696">
        <v>43000</v>
      </c>
      <c r="H184" s="696">
        <v>52100</v>
      </c>
      <c r="I184" s="696">
        <v>68750</v>
      </c>
      <c r="J184" s="814">
        <v>36400</v>
      </c>
      <c r="K184" s="696">
        <v>48050</v>
      </c>
      <c r="L184" s="696">
        <v>58250</v>
      </c>
      <c r="M184" s="696">
        <v>76900</v>
      </c>
      <c r="N184" s="814">
        <v>38550</v>
      </c>
      <c r="O184" s="696">
        <v>50900</v>
      </c>
      <c r="P184" s="696">
        <v>61700</v>
      </c>
      <c r="Q184" s="696">
        <v>81450</v>
      </c>
      <c r="R184" s="814">
        <v>41350</v>
      </c>
      <c r="S184" s="696">
        <v>54600</v>
      </c>
      <c r="T184" s="696">
        <v>66150</v>
      </c>
      <c r="U184" s="696">
        <v>87350</v>
      </c>
      <c r="V184" s="843">
        <v>42050</v>
      </c>
      <c r="W184" s="844">
        <v>55550</v>
      </c>
      <c r="X184" s="844">
        <v>67300</v>
      </c>
      <c r="Y184" s="844">
        <v>88850</v>
      </c>
    </row>
    <row r="185" spans="5:25" ht="15" x14ac:dyDescent="0.25">
      <c r="E185" s="697" t="s">
        <v>389</v>
      </c>
      <c r="F185" s="696">
        <v>32550</v>
      </c>
      <c r="G185" s="696">
        <v>43000</v>
      </c>
      <c r="H185" s="696">
        <v>52100</v>
      </c>
      <c r="I185" s="696">
        <v>68750</v>
      </c>
      <c r="J185" s="814">
        <v>36400</v>
      </c>
      <c r="K185" s="696">
        <v>48050</v>
      </c>
      <c r="L185" s="696">
        <v>58250</v>
      </c>
      <c r="M185" s="696">
        <v>76900</v>
      </c>
      <c r="N185" s="814">
        <v>38550</v>
      </c>
      <c r="O185" s="696">
        <v>50900</v>
      </c>
      <c r="P185" s="696">
        <v>61700</v>
      </c>
      <c r="Q185" s="696">
        <v>81450</v>
      </c>
      <c r="R185" s="814">
        <v>41350</v>
      </c>
      <c r="S185" s="696">
        <v>54600</v>
      </c>
      <c r="T185" s="696">
        <v>66150</v>
      </c>
      <c r="U185" s="696">
        <v>87350</v>
      </c>
      <c r="V185" s="843">
        <v>42050</v>
      </c>
      <c r="W185" s="844">
        <v>55550</v>
      </c>
      <c r="X185" s="844">
        <v>67300</v>
      </c>
      <c r="Y185" s="844">
        <v>88850</v>
      </c>
    </row>
    <row r="186" spans="5:25" ht="15" x14ac:dyDescent="0.25">
      <c r="E186" s="697" t="s">
        <v>390</v>
      </c>
      <c r="F186" s="696">
        <v>43300</v>
      </c>
      <c r="G186" s="696">
        <v>57200</v>
      </c>
      <c r="H186" s="696">
        <v>69300</v>
      </c>
      <c r="I186" s="696">
        <v>91500</v>
      </c>
      <c r="J186" s="814">
        <v>48400</v>
      </c>
      <c r="K186" s="696">
        <v>63900</v>
      </c>
      <c r="L186" s="696">
        <v>77450</v>
      </c>
      <c r="M186" s="696">
        <v>102250</v>
      </c>
      <c r="N186" s="814">
        <v>51250</v>
      </c>
      <c r="O186" s="696">
        <v>67650</v>
      </c>
      <c r="P186" s="696">
        <v>82000</v>
      </c>
      <c r="Q186" s="696">
        <v>108250</v>
      </c>
      <c r="R186" s="814">
        <v>51550</v>
      </c>
      <c r="S186" s="696">
        <v>68050</v>
      </c>
      <c r="T186" s="696">
        <v>82500</v>
      </c>
      <c r="U186" s="696">
        <v>108900</v>
      </c>
      <c r="V186" s="843">
        <v>55700</v>
      </c>
      <c r="W186" s="844">
        <v>73550</v>
      </c>
      <c r="X186" s="844">
        <v>89100</v>
      </c>
      <c r="Y186" s="844">
        <v>117650</v>
      </c>
    </row>
    <row r="187" spans="5:25" ht="15" x14ac:dyDescent="0.25">
      <c r="E187" s="697" t="s">
        <v>1561</v>
      </c>
      <c r="F187" s="696">
        <v>31000</v>
      </c>
      <c r="G187" s="696">
        <v>40950</v>
      </c>
      <c r="H187" s="696">
        <v>49600</v>
      </c>
      <c r="I187" s="696">
        <v>65450</v>
      </c>
      <c r="J187" s="814">
        <v>32700</v>
      </c>
      <c r="K187" s="696">
        <v>43200</v>
      </c>
      <c r="L187" s="696">
        <v>52300</v>
      </c>
      <c r="M187" s="696">
        <v>69050</v>
      </c>
      <c r="N187" s="814">
        <v>34600</v>
      </c>
      <c r="O187" s="696">
        <v>45700</v>
      </c>
      <c r="P187" s="696">
        <v>55350</v>
      </c>
      <c r="Q187" s="696">
        <v>73050</v>
      </c>
      <c r="R187" s="814">
        <v>35650</v>
      </c>
      <c r="S187" s="696">
        <v>47100</v>
      </c>
      <c r="T187" s="696">
        <v>57050</v>
      </c>
      <c r="U187" s="696">
        <v>75350</v>
      </c>
      <c r="V187" s="843">
        <v>38900</v>
      </c>
      <c r="W187" s="844">
        <v>51350</v>
      </c>
      <c r="X187" s="844">
        <v>62250</v>
      </c>
      <c r="Y187" s="844">
        <v>82200</v>
      </c>
    </row>
    <row r="188" spans="5:25" ht="15" x14ac:dyDescent="0.25">
      <c r="E188" s="695" t="s">
        <v>602</v>
      </c>
      <c r="F188" s="696">
        <v>44350</v>
      </c>
      <c r="G188" s="696">
        <v>58550</v>
      </c>
      <c r="H188" s="696">
        <v>70950</v>
      </c>
      <c r="I188" s="696">
        <v>93650</v>
      </c>
      <c r="J188" s="814">
        <v>47050</v>
      </c>
      <c r="K188" s="696">
        <v>62150</v>
      </c>
      <c r="L188" s="696">
        <v>75300</v>
      </c>
      <c r="M188" s="696">
        <v>99400</v>
      </c>
      <c r="N188" s="814">
        <v>49800</v>
      </c>
      <c r="O188" s="696">
        <v>65750</v>
      </c>
      <c r="P188" s="696">
        <v>79700</v>
      </c>
      <c r="Q188" s="696">
        <v>105200</v>
      </c>
      <c r="R188" s="814">
        <v>54750</v>
      </c>
      <c r="S188" s="696">
        <v>72300</v>
      </c>
      <c r="T188" s="696">
        <v>87600</v>
      </c>
      <c r="U188" s="696">
        <v>115650</v>
      </c>
      <c r="V188" s="843">
        <v>59800</v>
      </c>
      <c r="W188" s="844">
        <v>78950</v>
      </c>
      <c r="X188" s="844">
        <v>95650</v>
      </c>
      <c r="Y188" s="844">
        <v>126300</v>
      </c>
    </row>
    <row r="189" spans="5:25" ht="15" x14ac:dyDescent="0.25">
      <c r="E189" s="695" t="s">
        <v>603</v>
      </c>
      <c r="F189" s="696">
        <v>40100</v>
      </c>
      <c r="G189" s="696">
        <v>52950</v>
      </c>
      <c r="H189" s="696">
        <v>64150</v>
      </c>
      <c r="I189" s="696">
        <v>84700</v>
      </c>
      <c r="J189" s="814">
        <v>44250</v>
      </c>
      <c r="K189" s="696">
        <v>58450</v>
      </c>
      <c r="L189" s="696">
        <v>70800</v>
      </c>
      <c r="M189" s="696">
        <v>93450</v>
      </c>
      <c r="N189" s="814">
        <v>46850</v>
      </c>
      <c r="O189" s="696">
        <v>61850</v>
      </c>
      <c r="P189" s="696">
        <v>74950</v>
      </c>
      <c r="Q189" s="696">
        <v>98950</v>
      </c>
      <c r="R189" s="814">
        <v>46850</v>
      </c>
      <c r="S189" s="696">
        <v>61850</v>
      </c>
      <c r="T189" s="696">
        <v>74950</v>
      </c>
      <c r="U189" s="696">
        <v>98950</v>
      </c>
      <c r="V189" s="843">
        <v>50400</v>
      </c>
      <c r="W189" s="844">
        <v>66550</v>
      </c>
      <c r="X189" s="844">
        <v>80650</v>
      </c>
      <c r="Y189" s="844">
        <v>106500</v>
      </c>
    </row>
    <row r="190" spans="5:25" ht="15" x14ac:dyDescent="0.25">
      <c r="E190" s="697" t="s">
        <v>391</v>
      </c>
      <c r="F190" s="696">
        <v>43300</v>
      </c>
      <c r="G190" s="696">
        <v>57200</v>
      </c>
      <c r="H190" s="696">
        <v>69300</v>
      </c>
      <c r="I190" s="696">
        <v>91500</v>
      </c>
      <c r="J190" s="814">
        <v>48400</v>
      </c>
      <c r="K190" s="696">
        <v>63900</v>
      </c>
      <c r="L190" s="696">
        <v>77450</v>
      </c>
      <c r="M190" s="696">
        <v>102250</v>
      </c>
      <c r="N190" s="814">
        <v>51250</v>
      </c>
      <c r="O190" s="696">
        <v>67650</v>
      </c>
      <c r="P190" s="696">
        <v>82000</v>
      </c>
      <c r="Q190" s="696">
        <v>108250</v>
      </c>
      <c r="R190" s="814">
        <v>51550</v>
      </c>
      <c r="S190" s="696">
        <v>68050</v>
      </c>
      <c r="T190" s="696">
        <v>82500</v>
      </c>
      <c r="U190" s="696">
        <v>108900</v>
      </c>
      <c r="V190" s="843">
        <v>55700</v>
      </c>
      <c r="W190" s="844">
        <v>73550</v>
      </c>
      <c r="X190" s="844">
        <v>89100</v>
      </c>
      <c r="Y190" s="844">
        <v>117650</v>
      </c>
    </row>
    <row r="191" spans="5:25" ht="15" x14ac:dyDescent="0.25">
      <c r="E191" s="697" t="s">
        <v>392</v>
      </c>
      <c r="F191" s="696">
        <v>36450</v>
      </c>
      <c r="G191" s="696">
        <v>48150</v>
      </c>
      <c r="H191" s="696">
        <v>58300</v>
      </c>
      <c r="I191" s="696">
        <v>76950</v>
      </c>
      <c r="J191" s="814">
        <v>40250</v>
      </c>
      <c r="K191" s="696">
        <v>53150</v>
      </c>
      <c r="L191" s="696">
        <v>64400</v>
      </c>
      <c r="M191" s="696">
        <v>85000</v>
      </c>
      <c r="N191" s="814">
        <v>42600</v>
      </c>
      <c r="O191" s="696">
        <v>56250</v>
      </c>
      <c r="P191" s="696">
        <v>68150</v>
      </c>
      <c r="Q191" s="696">
        <v>89950</v>
      </c>
      <c r="R191" s="814">
        <v>42600</v>
      </c>
      <c r="S191" s="696">
        <v>56250</v>
      </c>
      <c r="T191" s="696">
        <v>68150</v>
      </c>
      <c r="U191" s="696">
        <v>90000</v>
      </c>
      <c r="V191" s="843">
        <v>46200</v>
      </c>
      <c r="W191" s="844">
        <v>61000</v>
      </c>
      <c r="X191" s="844">
        <v>73900</v>
      </c>
      <c r="Y191" s="844">
        <v>97550</v>
      </c>
    </row>
    <row r="192" spans="5:25" ht="15" x14ac:dyDescent="0.25">
      <c r="E192" s="697" t="s">
        <v>393</v>
      </c>
      <c r="F192" s="696">
        <v>35800</v>
      </c>
      <c r="G192" s="696">
        <v>47300</v>
      </c>
      <c r="H192" s="696">
        <v>57300</v>
      </c>
      <c r="I192" s="696">
        <v>75650</v>
      </c>
      <c r="J192" s="814">
        <v>39300</v>
      </c>
      <c r="K192" s="696">
        <v>51900</v>
      </c>
      <c r="L192" s="696">
        <v>62900</v>
      </c>
      <c r="M192" s="696">
        <v>83050</v>
      </c>
      <c r="N192" s="814">
        <v>41600</v>
      </c>
      <c r="O192" s="696">
        <v>54950</v>
      </c>
      <c r="P192" s="696">
        <v>66550</v>
      </c>
      <c r="Q192" s="696">
        <v>87850</v>
      </c>
      <c r="R192" s="814">
        <v>41600</v>
      </c>
      <c r="S192" s="696">
        <v>54950</v>
      </c>
      <c r="T192" s="696">
        <v>66550</v>
      </c>
      <c r="U192" s="696">
        <v>87850</v>
      </c>
      <c r="V192" s="843">
        <v>45150</v>
      </c>
      <c r="W192" s="844">
        <v>59600</v>
      </c>
      <c r="X192" s="844">
        <v>72250</v>
      </c>
      <c r="Y192" s="844">
        <v>95400</v>
      </c>
    </row>
    <row r="193" spans="5:25" ht="15" x14ac:dyDescent="0.25">
      <c r="E193" s="697" t="s">
        <v>394</v>
      </c>
      <c r="F193" s="696">
        <v>35800</v>
      </c>
      <c r="G193" s="696">
        <v>47300</v>
      </c>
      <c r="H193" s="696">
        <v>57300</v>
      </c>
      <c r="I193" s="696">
        <v>75650</v>
      </c>
      <c r="J193" s="814">
        <v>39300</v>
      </c>
      <c r="K193" s="696">
        <v>51900</v>
      </c>
      <c r="L193" s="696">
        <v>62900</v>
      </c>
      <c r="M193" s="696">
        <v>83050</v>
      </c>
      <c r="N193" s="814">
        <v>41600</v>
      </c>
      <c r="O193" s="696">
        <v>54950</v>
      </c>
      <c r="P193" s="696">
        <v>66550</v>
      </c>
      <c r="Q193" s="696">
        <v>87850</v>
      </c>
      <c r="R193" s="814">
        <v>45750</v>
      </c>
      <c r="S193" s="696">
        <v>60400</v>
      </c>
      <c r="T193" s="696">
        <v>73200</v>
      </c>
      <c r="U193" s="696">
        <v>96600</v>
      </c>
      <c r="V193" s="843">
        <v>49950</v>
      </c>
      <c r="W193" s="844">
        <v>65950</v>
      </c>
      <c r="X193" s="844">
        <v>79900</v>
      </c>
      <c r="Y193" s="844">
        <v>105500</v>
      </c>
    </row>
    <row r="194" spans="5:25" ht="15" x14ac:dyDescent="0.25">
      <c r="E194" s="697" t="s">
        <v>395</v>
      </c>
      <c r="F194" s="696">
        <v>35800</v>
      </c>
      <c r="G194" s="696">
        <v>47300</v>
      </c>
      <c r="H194" s="696">
        <v>57300</v>
      </c>
      <c r="I194" s="696">
        <v>75650</v>
      </c>
      <c r="J194" s="814">
        <v>39300</v>
      </c>
      <c r="K194" s="696">
        <v>51900</v>
      </c>
      <c r="L194" s="696">
        <v>62900</v>
      </c>
      <c r="M194" s="696">
        <v>83050</v>
      </c>
      <c r="N194" s="814">
        <v>41600</v>
      </c>
      <c r="O194" s="696">
        <v>54950</v>
      </c>
      <c r="P194" s="696">
        <v>66550</v>
      </c>
      <c r="Q194" s="696">
        <v>87850</v>
      </c>
      <c r="R194" s="814">
        <v>41600</v>
      </c>
      <c r="S194" s="696">
        <v>54950</v>
      </c>
      <c r="T194" s="696">
        <v>66550</v>
      </c>
      <c r="U194" s="696">
        <v>87850</v>
      </c>
      <c r="V194" s="843">
        <v>45150</v>
      </c>
      <c r="W194" s="844">
        <v>59600</v>
      </c>
      <c r="X194" s="844">
        <v>72250</v>
      </c>
      <c r="Y194" s="844">
        <v>95400</v>
      </c>
    </row>
    <row r="195" spans="5:25" ht="15" x14ac:dyDescent="0.25">
      <c r="E195" s="697" t="s">
        <v>396</v>
      </c>
      <c r="F195" s="696">
        <v>35800</v>
      </c>
      <c r="G195" s="696">
        <v>47300</v>
      </c>
      <c r="H195" s="696">
        <v>57300</v>
      </c>
      <c r="I195" s="696">
        <v>75650</v>
      </c>
      <c r="J195" s="814">
        <v>39300</v>
      </c>
      <c r="K195" s="696">
        <v>51900</v>
      </c>
      <c r="L195" s="696">
        <v>62900</v>
      </c>
      <c r="M195" s="696">
        <v>83050</v>
      </c>
      <c r="N195" s="814">
        <v>41600</v>
      </c>
      <c r="O195" s="696">
        <v>54950</v>
      </c>
      <c r="P195" s="696">
        <v>66550</v>
      </c>
      <c r="Q195" s="696">
        <v>87850</v>
      </c>
      <c r="R195" s="814">
        <v>41600</v>
      </c>
      <c r="S195" s="696">
        <v>54950</v>
      </c>
      <c r="T195" s="696">
        <v>66550</v>
      </c>
      <c r="U195" s="696">
        <v>87850</v>
      </c>
      <c r="V195" s="843">
        <v>45150</v>
      </c>
      <c r="W195" s="844">
        <v>59600</v>
      </c>
      <c r="X195" s="844">
        <v>72250</v>
      </c>
      <c r="Y195" s="844">
        <v>95400</v>
      </c>
    </row>
    <row r="196" spans="5:25" ht="15" x14ac:dyDescent="0.25">
      <c r="E196" s="697" t="s">
        <v>397</v>
      </c>
      <c r="F196" s="696">
        <v>36600</v>
      </c>
      <c r="G196" s="696">
        <v>48350</v>
      </c>
      <c r="H196" s="696">
        <v>58550</v>
      </c>
      <c r="I196" s="696">
        <v>77300</v>
      </c>
      <c r="J196" s="814">
        <v>40100</v>
      </c>
      <c r="K196" s="696">
        <v>52950</v>
      </c>
      <c r="L196" s="696">
        <v>64150</v>
      </c>
      <c r="M196" s="696">
        <v>84700</v>
      </c>
      <c r="N196" s="814">
        <v>42450</v>
      </c>
      <c r="O196" s="696">
        <v>56050</v>
      </c>
      <c r="P196" s="696">
        <v>67900</v>
      </c>
      <c r="Q196" s="696">
        <v>89650</v>
      </c>
      <c r="R196" s="814">
        <v>46050</v>
      </c>
      <c r="S196" s="696">
        <v>60800</v>
      </c>
      <c r="T196" s="696">
        <v>73700</v>
      </c>
      <c r="U196" s="696">
        <v>97300</v>
      </c>
      <c r="V196" s="843">
        <v>47150</v>
      </c>
      <c r="W196" s="844">
        <v>62250</v>
      </c>
      <c r="X196" s="844">
        <v>75450</v>
      </c>
      <c r="Y196" s="844">
        <v>99600</v>
      </c>
    </row>
    <row r="197" spans="5:25" ht="15" x14ac:dyDescent="0.25">
      <c r="E197" s="697" t="s">
        <v>398</v>
      </c>
      <c r="F197" s="696">
        <v>39250</v>
      </c>
      <c r="G197" s="696">
        <v>51850</v>
      </c>
      <c r="H197" s="696">
        <v>62800</v>
      </c>
      <c r="I197" s="696">
        <v>82900</v>
      </c>
      <c r="J197" s="814">
        <v>40450</v>
      </c>
      <c r="K197" s="696">
        <v>53400</v>
      </c>
      <c r="L197" s="696">
        <v>64700</v>
      </c>
      <c r="M197" s="696">
        <v>85400</v>
      </c>
      <c r="N197" s="814">
        <v>42800</v>
      </c>
      <c r="O197" s="696">
        <v>56500</v>
      </c>
      <c r="P197" s="696">
        <v>68500</v>
      </c>
      <c r="Q197" s="696">
        <v>90400</v>
      </c>
      <c r="R197" s="814">
        <v>42800</v>
      </c>
      <c r="S197" s="696">
        <v>56500</v>
      </c>
      <c r="T197" s="696">
        <v>68500</v>
      </c>
      <c r="U197" s="696">
        <v>90450</v>
      </c>
      <c r="V197" s="843">
        <v>45150</v>
      </c>
      <c r="W197" s="844">
        <v>59600</v>
      </c>
      <c r="X197" s="844">
        <v>72250</v>
      </c>
      <c r="Y197" s="844">
        <v>95400</v>
      </c>
    </row>
    <row r="198" spans="5:25" ht="15" x14ac:dyDescent="0.25">
      <c r="E198" s="697" t="s">
        <v>399</v>
      </c>
      <c r="F198" s="696">
        <v>35800</v>
      </c>
      <c r="G198" s="696">
        <v>47300</v>
      </c>
      <c r="H198" s="696">
        <v>57300</v>
      </c>
      <c r="I198" s="696">
        <v>75650</v>
      </c>
      <c r="J198" s="814">
        <v>39550</v>
      </c>
      <c r="K198" s="696">
        <v>52250</v>
      </c>
      <c r="L198" s="696">
        <v>63300</v>
      </c>
      <c r="M198" s="696">
        <v>83550</v>
      </c>
      <c r="N198" s="814">
        <v>41850</v>
      </c>
      <c r="O198" s="696">
        <v>55250</v>
      </c>
      <c r="P198" s="696">
        <v>66950</v>
      </c>
      <c r="Q198" s="696">
        <v>88350</v>
      </c>
      <c r="R198" s="814">
        <v>43700</v>
      </c>
      <c r="S198" s="696">
        <v>57700</v>
      </c>
      <c r="T198" s="696">
        <v>69900</v>
      </c>
      <c r="U198" s="696">
        <v>92300</v>
      </c>
      <c r="V198" s="843">
        <v>47250</v>
      </c>
      <c r="W198" s="844">
        <v>62400</v>
      </c>
      <c r="X198" s="844">
        <v>75600</v>
      </c>
      <c r="Y198" s="844">
        <v>99800</v>
      </c>
    </row>
    <row r="199" spans="5:25" ht="15" x14ac:dyDescent="0.25">
      <c r="E199" s="697" t="s">
        <v>400</v>
      </c>
      <c r="F199" s="696">
        <v>35800</v>
      </c>
      <c r="G199" s="696">
        <v>47300</v>
      </c>
      <c r="H199" s="696">
        <v>57300</v>
      </c>
      <c r="I199" s="696">
        <v>75650</v>
      </c>
      <c r="J199" s="814">
        <v>39300</v>
      </c>
      <c r="K199" s="696">
        <v>51900</v>
      </c>
      <c r="L199" s="696">
        <v>62900</v>
      </c>
      <c r="M199" s="696">
        <v>83050</v>
      </c>
      <c r="N199" s="814">
        <v>41600</v>
      </c>
      <c r="O199" s="696">
        <v>54950</v>
      </c>
      <c r="P199" s="696">
        <v>66550</v>
      </c>
      <c r="Q199" s="696">
        <v>87850</v>
      </c>
      <c r="R199" s="814">
        <v>41600</v>
      </c>
      <c r="S199" s="696">
        <v>54950</v>
      </c>
      <c r="T199" s="696">
        <v>66550</v>
      </c>
      <c r="U199" s="696">
        <v>87850</v>
      </c>
      <c r="V199" s="843">
        <v>45150</v>
      </c>
      <c r="W199" s="844">
        <v>59600</v>
      </c>
      <c r="X199" s="844">
        <v>72250</v>
      </c>
      <c r="Y199" s="844">
        <v>95400</v>
      </c>
    </row>
    <row r="200" spans="5:25" ht="15" x14ac:dyDescent="0.25">
      <c r="E200" s="697" t="s">
        <v>401</v>
      </c>
      <c r="F200" s="696">
        <v>40200</v>
      </c>
      <c r="G200" s="696">
        <v>53100</v>
      </c>
      <c r="H200" s="696">
        <v>64300</v>
      </c>
      <c r="I200" s="696">
        <v>84900</v>
      </c>
      <c r="J200" s="814">
        <v>44350</v>
      </c>
      <c r="K200" s="696">
        <v>58550</v>
      </c>
      <c r="L200" s="696">
        <v>70950</v>
      </c>
      <c r="M200" s="696">
        <v>93650</v>
      </c>
      <c r="N200" s="814">
        <v>46950</v>
      </c>
      <c r="O200" s="696">
        <v>62000</v>
      </c>
      <c r="P200" s="696">
        <v>75100</v>
      </c>
      <c r="Q200" s="696">
        <v>99150</v>
      </c>
      <c r="R200" s="814">
        <v>49600</v>
      </c>
      <c r="S200" s="696">
        <v>65500</v>
      </c>
      <c r="T200" s="696">
        <v>79350</v>
      </c>
      <c r="U200" s="696">
        <v>104750</v>
      </c>
      <c r="V200" s="843">
        <v>52400</v>
      </c>
      <c r="W200" s="844">
        <v>69200</v>
      </c>
      <c r="X200" s="844">
        <v>83850</v>
      </c>
      <c r="Y200" s="844">
        <v>110700</v>
      </c>
    </row>
    <row r="201" spans="5:25" ht="15" x14ac:dyDescent="0.25">
      <c r="E201" s="697" t="s">
        <v>402</v>
      </c>
      <c r="F201" s="696">
        <v>35800</v>
      </c>
      <c r="G201" s="696">
        <v>47300</v>
      </c>
      <c r="H201" s="696">
        <v>57300</v>
      </c>
      <c r="I201" s="696">
        <v>75650</v>
      </c>
      <c r="J201" s="814">
        <v>39300</v>
      </c>
      <c r="K201" s="696">
        <v>51900</v>
      </c>
      <c r="L201" s="696">
        <v>62900</v>
      </c>
      <c r="M201" s="696">
        <v>83050</v>
      </c>
      <c r="N201" s="814">
        <v>41600</v>
      </c>
      <c r="O201" s="696">
        <v>54950</v>
      </c>
      <c r="P201" s="696">
        <v>66550</v>
      </c>
      <c r="Q201" s="696">
        <v>87850</v>
      </c>
      <c r="R201" s="814">
        <v>42100</v>
      </c>
      <c r="S201" s="696">
        <v>55600</v>
      </c>
      <c r="T201" s="696">
        <v>67350</v>
      </c>
      <c r="U201" s="696">
        <v>88950</v>
      </c>
      <c r="V201" s="843">
        <v>45950</v>
      </c>
      <c r="W201" s="844">
        <v>60700</v>
      </c>
      <c r="X201" s="844">
        <v>73500</v>
      </c>
      <c r="Y201" s="844">
        <v>97050</v>
      </c>
    </row>
    <row r="202" spans="5:25" ht="15" x14ac:dyDescent="0.25">
      <c r="E202" s="697" t="s">
        <v>403</v>
      </c>
      <c r="F202" s="696">
        <v>35800</v>
      </c>
      <c r="G202" s="696">
        <v>47300</v>
      </c>
      <c r="H202" s="696">
        <v>57300</v>
      </c>
      <c r="I202" s="696">
        <v>75650</v>
      </c>
      <c r="J202" s="814">
        <v>39750</v>
      </c>
      <c r="K202" s="696">
        <v>52500</v>
      </c>
      <c r="L202" s="696">
        <v>63600</v>
      </c>
      <c r="M202" s="696">
        <v>83950</v>
      </c>
      <c r="N202" s="814">
        <v>42100</v>
      </c>
      <c r="O202" s="696">
        <v>55600</v>
      </c>
      <c r="P202" s="696">
        <v>67350</v>
      </c>
      <c r="Q202" s="696">
        <v>88900</v>
      </c>
      <c r="R202" s="814">
        <v>46300</v>
      </c>
      <c r="S202" s="696">
        <v>61150</v>
      </c>
      <c r="T202" s="696">
        <v>74050</v>
      </c>
      <c r="U202" s="696">
        <v>97750</v>
      </c>
      <c r="V202" s="843">
        <v>50550</v>
      </c>
      <c r="W202" s="844">
        <v>66750</v>
      </c>
      <c r="X202" s="844">
        <v>80850</v>
      </c>
      <c r="Y202" s="844">
        <v>106750</v>
      </c>
    </row>
    <row r="203" spans="5:25" ht="15" x14ac:dyDescent="0.25">
      <c r="E203" s="697" t="s">
        <v>404</v>
      </c>
      <c r="F203" s="696">
        <v>43900</v>
      </c>
      <c r="G203" s="696">
        <v>57950</v>
      </c>
      <c r="H203" s="696">
        <v>70250</v>
      </c>
      <c r="I203" s="696">
        <v>92750</v>
      </c>
      <c r="J203" s="814">
        <v>47550</v>
      </c>
      <c r="K203" s="696">
        <v>62800</v>
      </c>
      <c r="L203" s="696">
        <v>76100</v>
      </c>
      <c r="M203" s="696">
        <v>100450</v>
      </c>
      <c r="N203" s="814">
        <v>50350</v>
      </c>
      <c r="O203" s="696">
        <v>66500</v>
      </c>
      <c r="P203" s="696">
        <v>80550</v>
      </c>
      <c r="Q203" s="696">
        <v>106350</v>
      </c>
      <c r="R203" s="814">
        <v>54750</v>
      </c>
      <c r="S203" s="696">
        <v>72300</v>
      </c>
      <c r="T203" s="696">
        <v>87600</v>
      </c>
      <c r="U203" s="696">
        <v>115650</v>
      </c>
      <c r="V203" s="843">
        <v>56850</v>
      </c>
      <c r="W203" s="844">
        <v>75050</v>
      </c>
      <c r="X203" s="844">
        <v>90950</v>
      </c>
      <c r="Y203" s="844">
        <v>120100</v>
      </c>
    </row>
    <row r="204" spans="5:25" ht="15" x14ac:dyDescent="0.25">
      <c r="E204" s="697" t="s">
        <v>405</v>
      </c>
      <c r="F204" s="696">
        <v>38750</v>
      </c>
      <c r="G204" s="696">
        <v>51150</v>
      </c>
      <c r="H204" s="696">
        <v>62000</v>
      </c>
      <c r="I204" s="696">
        <v>81850</v>
      </c>
      <c r="J204" s="814">
        <v>41900</v>
      </c>
      <c r="K204" s="696">
        <v>55350</v>
      </c>
      <c r="L204" s="696">
        <v>67050</v>
      </c>
      <c r="M204" s="696">
        <v>88500</v>
      </c>
      <c r="N204" s="814">
        <v>44350</v>
      </c>
      <c r="O204" s="696">
        <v>58550</v>
      </c>
      <c r="P204" s="696">
        <v>70950</v>
      </c>
      <c r="Q204" s="696">
        <v>93650</v>
      </c>
      <c r="R204" s="814">
        <v>48500</v>
      </c>
      <c r="S204" s="696">
        <v>64050</v>
      </c>
      <c r="T204" s="696">
        <v>77600</v>
      </c>
      <c r="U204" s="696">
        <v>102450</v>
      </c>
      <c r="V204" s="843">
        <v>51600</v>
      </c>
      <c r="W204" s="844">
        <v>68150</v>
      </c>
      <c r="X204" s="844">
        <v>82550</v>
      </c>
      <c r="Y204" s="844">
        <v>109000</v>
      </c>
    </row>
    <row r="205" spans="5:25" ht="15" x14ac:dyDescent="0.25">
      <c r="E205" s="697" t="s">
        <v>406</v>
      </c>
      <c r="F205" s="696">
        <v>35800</v>
      </c>
      <c r="G205" s="696">
        <v>47300</v>
      </c>
      <c r="H205" s="696">
        <v>57300</v>
      </c>
      <c r="I205" s="696">
        <v>75650</v>
      </c>
      <c r="J205" s="814">
        <v>39300</v>
      </c>
      <c r="K205" s="696">
        <v>51900</v>
      </c>
      <c r="L205" s="696">
        <v>62900</v>
      </c>
      <c r="M205" s="696">
        <v>83050</v>
      </c>
      <c r="N205" s="814">
        <v>41600</v>
      </c>
      <c r="O205" s="696">
        <v>54950</v>
      </c>
      <c r="P205" s="696">
        <v>66550</v>
      </c>
      <c r="Q205" s="696">
        <v>87850</v>
      </c>
      <c r="R205" s="814">
        <v>41600</v>
      </c>
      <c r="S205" s="696">
        <v>54950</v>
      </c>
      <c r="T205" s="696">
        <v>66550</v>
      </c>
      <c r="U205" s="696">
        <v>87850</v>
      </c>
      <c r="V205" s="843">
        <v>45150</v>
      </c>
      <c r="W205" s="844">
        <v>59600</v>
      </c>
      <c r="X205" s="844">
        <v>72250</v>
      </c>
      <c r="Y205" s="844">
        <v>95400</v>
      </c>
    </row>
    <row r="206" spans="5:25" ht="15" x14ac:dyDescent="0.25">
      <c r="E206" s="697" t="s">
        <v>407</v>
      </c>
      <c r="F206" s="696">
        <v>35800</v>
      </c>
      <c r="G206" s="696">
        <v>47300</v>
      </c>
      <c r="H206" s="696">
        <v>57300</v>
      </c>
      <c r="I206" s="696">
        <v>75650</v>
      </c>
      <c r="J206" s="814">
        <v>39300</v>
      </c>
      <c r="K206" s="696">
        <v>51900</v>
      </c>
      <c r="L206" s="696">
        <v>62900</v>
      </c>
      <c r="M206" s="696">
        <v>83050</v>
      </c>
      <c r="N206" s="814">
        <v>41600</v>
      </c>
      <c r="O206" s="696">
        <v>54950</v>
      </c>
      <c r="P206" s="696">
        <v>66550</v>
      </c>
      <c r="Q206" s="696">
        <v>87850</v>
      </c>
      <c r="R206" s="814">
        <v>41600</v>
      </c>
      <c r="S206" s="696">
        <v>54950</v>
      </c>
      <c r="T206" s="696">
        <v>66550</v>
      </c>
      <c r="U206" s="696">
        <v>87850</v>
      </c>
      <c r="V206" s="843">
        <v>45150</v>
      </c>
      <c r="W206" s="844">
        <v>59600</v>
      </c>
      <c r="X206" s="844">
        <v>72250</v>
      </c>
      <c r="Y206" s="844">
        <v>95400</v>
      </c>
    </row>
    <row r="207" spans="5:25" ht="15" x14ac:dyDescent="0.25">
      <c r="E207" s="697" t="s">
        <v>408</v>
      </c>
      <c r="F207" s="696">
        <v>41100</v>
      </c>
      <c r="G207" s="696">
        <v>54300</v>
      </c>
      <c r="H207" s="696">
        <v>65750</v>
      </c>
      <c r="I207" s="696">
        <v>86800</v>
      </c>
      <c r="J207" s="814">
        <v>41200</v>
      </c>
      <c r="K207" s="696">
        <v>54400</v>
      </c>
      <c r="L207" s="696">
        <v>65900</v>
      </c>
      <c r="M207" s="696">
        <v>87000</v>
      </c>
      <c r="N207" s="814">
        <v>43600</v>
      </c>
      <c r="O207" s="696">
        <v>57600</v>
      </c>
      <c r="P207" s="696">
        <v>69750</v>
      </c>
      <c r="Q207" s="696">
        <v>92050</v>
      </c>
      <c r="R207" s="814">
        <v>43600</v>
      </c>
      <c r="S207" s="696">
        <v>57600</v>
      </c>
      <c r="T207" s="696">
        <v>69750</v>
      </c>
      <c r="U207" s="696">
        <v>92100</v>
      </c>
      <c r="V207" s="843">
        <v>45250</v>
      </c>
      <c r="W207" s="844">
        <v>59750</v>
      </c>
      <c r="X207" s="844">
        <v>72400</v>
      </c>
      <c r="Y207" s="844">
        <v>95600</v>
      </c>
    </row>
    <row r="208" spans="5:25" ht="15" x14ac:dyDescent="0.25">
      <c r="E208" s="697" t="s">
        <v>409</v>
      </c>
      <c r="F208" s="696">
        <v>36250</v>
      </c>
      <c r="G208" s="696">
        <v>47850</v>
      </c>
      <c r="H208" s="696">
        <v>58000</v>
      </c>
      <c r="I208" s="696">
        <v>76550</v>
      </c>
      <c r="J208" s="814">
        <v>40450</v>
      </c>
      <c r="K208" s="696">
        <v>53400</v>
      </c>
      <c r="L208" s="696">
        <v>64700</v>
      </c>
      <c r="M208" s="696">
        <v>85400</v>
      </c>
      <c r="N208" s="814">
        <v>42800</v>
      </c>
      <c r="O208" s="696">
        <v>56500</v>
      </c>
      <c r="P208" s="696">
        <v>68500</v>
      </c>
      <c r="Q208" s="696">
        <v>90400</v>
      </c>
      <c r="R208" s="814">
        <v>45900</v>
      </c>
      <c r="S208" s="696">
        <v>60600</v>
      </c>
      <c r="T208" s="696">
        <v>73450</v>
      </c>
      <c r="U208" s="696">
        <v>97000</v>
      </c>
      <c r="V208" s="843">
        <v>48150</v>
      </c>
      <c r="W208" s="844">
        <v>63600</v>
      </c>
      <c r="X208" s="844">
        <v>77050</v>
      </c>
      <c r="Y208" s="844">
        <v>101750</v>
      </c>
    </row>
    <row r="209" spans="5:25" ht="15" x14ac:dyDescent="0.25">
      <c r="E209" s="697" t="s">
        <v>410</v>
      </c>
      <c r="F209" s="696">
        <v>35800</v>
      </c>
      <c r="G209" s="696">
        <v>47300</v>
      </c>
      <c r="H209" s="696">
        <v>57300</v>
      </c>
      <c r="I209" s="696">
        <v>75650</v>
      </c>
      <c r="J209" s="814">
        <v>39300</v>
      </c>
      <c r="K209" s="696">
        <v>51900</v>
      </c>
      <c r="L209" s="696">
        <v>62900</v>
      </c>
      <c r="M209" s="696">
        <v>83050</v>
      </c>
      <c r="N209" s="814">
        <v>41600</v>
      </c>
      <c r="O209" s="696">
        <v>54950</v>
      </c>
      <c r="P209" s="696">
        <v>66550</v>
      </c>
      <c r="Q209" s="696">
        <v>87850</v>
      </c>
      <c r="R209" s="814">
        <v>41600</v>
      </c>
      <c r="S209" s="696">
        <v>54950</v>
      </c>
      <c r="T209" s="696">
        <v>66550</v>
      </c>
      <c r="U209" s="696">
        <v>87850</v>
      </c>
      <c r="V209" s="843">
        <v>45150</v>
      </c>
      <c r="W209" s="844">
        <v>59600</v>
      </c>
      <c r="X209" s="844">
        <v>72250</v>
      </c>
      <c r="Y209" s="844">
        <v>95400</v>
      </c>
    </row>
    <row r="210" spans="5:25" ht="15" x14ac:dyDescent="0.25">
      <c r="E210" s="697" t="s">
        <v>411</v>
      </c>
      <c r="F210" s="696">
        <v>36650</v>
      </c>
      <c r="G210" s="696">
        <v>48400</v>
      </c>
      <c r="H210" s="696">
        <v>58650</v>
      </c>
      <c r="I210" s="696">
        <v>77400</v>
      </c>
      <c r="J210" s="814">
        <v>40650</v>
      </c>
      <c r="K210" s="696">
        <v>53700</v>
      </c>
      <c r="L210" s="696">
        <v>65050</v>
      </c>
      <c r="M210" s="696">
        <v>85850</v>
      </c>
      <c r="N210" s="814">
        <v>43050</v>
      </c>
      <c r="O210" s="696">
        <v>56850</v>
      </c>
      <c r="P210" s="696">
        <v>68900</v>
      </c>
      <c r="Q210" s="696">
        <v>90950</v>
      </c>
      <c r="R210" s="814">
        <v>44450</v>
      </c>
      <c r="S210" s="696">
        <v>58700</v>
      </c>
      <c r="T210" s="696">
        <v>71100</v>
      </c>
      <c r="U210" s="696">
        <v>93900</v>
      </c>
      <c r="V210" s="843">
        <v>47750</v>
      </c>
      <c r="W210" s="844">
        <v>63050</v>
      </c>
      <c r="X210" s="844">
        <v>76400</v>
      </c>
      <c r="Y210" s="844">
        <v>100850</v>
      </c>
    </row>
    <row r="211" spans="5:25" ht="15" x14ac:dyDescent="0.25">
      <c r="E211" s="697" t="s">
        <v>412</v>
      </c>
      <c r="F211" s="696">
        <v>35800</v>
      </c>
      <c r="G211" s="696">
        <v>47300</v>
      </c>
      <c r="H211" s="696">
        <v>57300</v>
      </c>
      <c r="I211" s="696">
        <v>75650</v>
      </c>
      <c r="J211" s="814">
        <v>39300</v>
      </c>
      <c r="K211" s="696">
        <v>51900</v>
      </c>
      <c r="L211" s="696">
        <v>62900</v>
      </c>
      <c r="M211" s="696">
        <v>83050</v>
      </c>
      <c r="N211" s="814">
        <v>41600</v>
      </c>
      <c r="O211" s="696">
        <v>54950</v>
      </c>
      <c r="P211" s="696">
        <v>66550</v>
      </c>
      <c r="Q211" s="696">
        <v>87850</v>
      </c>
      <c r="R211" s="814">
        <v>41600</v>
      </c>
      <c r="S211" s="696">
        <v>54950</v>
      </c>
      <c r="T211" s="696">
        <v>66550</v>
      </c>
      <c r="U211" s="696">
        <v>87850</v>
      </c>
      <c r="V211" s="843">
        <v>45150</v>
      </c>
      <c r="W211" s="844">
        <v>59600</v>
      </c>
      <c r="X211" s="844">
        <v>72250</v>
      </c>
      <c r="Y211" s="844">
        <v>95400</v>
      </c>
    </row>
    <row r="212" spans="5:25" ht="15" x14ac:dyDescent="0.25">
      <c r="E212" s="697" t="s">
        <v>413</v>
      </c>
      <c r="F212" s="696">
        <v>37500</v>
      </c>
      <c r="G212" s="696">
        <v>49500</v>
      </c>
      <c r="H212" s="696">
        <v>60000</v>
      </c>
      <c r="I212" s="696">
        <v>79200</v>
      </c>
      <c r="J212" s="814">
        <v>41000</v>
      </c>
      <c r="K212" s="696">
        <v>54150</v>
      </c>
      <c r="L212" s="696">
        <v>65600</v>
      </c>
      <c r="M212" s="696">
        <v>86600</v>
      </c>
      <c r="N212" s="814">
        <v>43150</v>
      </c>
      <c r="O212" s="696">
        <v>57000</v>
      </c>
      <c r="P212" s="696">
        <v>69050</v>
      </c>
      <c r="Q212" s="696">
        <v>91150</v>
      </c>
      <c r="R212" s="814">
        <v>46250</v>
      </c>
      <c r="S212" s="696">
        <v>61050</v>
      </c>
      <c r="T212" s="696">
        <v>74000</v>
      </c>
      <c r="U212" s="696">
        <v>97700</v>
      </c>
      <c r="V212" s="843">
        <v>46250</v>
      </c>
      <c r="W212" s="844">
        <v>61050</v>
      </c>
      <c r="X212" s="844">
        <v>74000</v>
      </c>
      <c r="Y212" s="844">
        <v>97700</v>
      </c>
    </row>
    <row r="213" spans="5:25" ht="15" x14ac:dyDescent="0.25">
      <c r="E213" s="697" t="s">
        <v>414</v>
      </c>
      <c r="F213" s="696">
        <v>35800</v>
      </c>
      <c r="G213" s="696">
        <v>47300</v>
      </c>
      <c r="H213" s="696">
        <v>57300</v>
      </c>
      <c r="I213" s="696">
        <v>75650</v>
      </c>
      <c r="J213" s="814">
        <v>39300</v>
      </c>
      <c r="K213" s="696">
        <v>51900</v>
      </c>
      <c r="L213" s="696">
        <v>62900</v>
      </c>
      <c r="M213" s="696">
        <v>83050</v>
      </c>
      <c r="N213" s="814">
        <v>41600</v>
      </c>
      <c r="O213" s="696">
        <v>54950</v>
      </c>
      <c r="P213" s="696">
        <v>66550</v>
      </c>
      <c r="Q213" s="696">
        <v>87850</v>
      </c>
      <c r="R213" s="814">
        <v>41600</v>
      </c>
      <c r="S213" s="696">
        <v>54950</v>
      </c>
      <c r="T213" s="696">
        <v>66550</v>
      </c>
      <c r="U213" s="696">
        <v>87850</v>
      </c>
      <c r="V213" s="843">
        <v>45150</v>
      </c>
      <c r="W213" s="844">
        <v>59600</v>
      </c>
      <c r="X213" s="844">
        <v>72250</v>
      </c>
      <c r="Y213" s="844">
        <v>95400</v>
      </c>
    </row>
    <row r="214" spans="5:25" ht="15" x14ac:dyDescent="0.25">
      <c r="E214" s="697" t="s">
        <v>415</v>
      </c>
      <c r="F214" s="696">
        <v>35800</v>
      </c>
      <c r="G214" s="696">
        <v>47300</v>
      </c>
      <c r="H214" s="696">
        <v>57300</v>
      </c>
      <c r="I214" s="696">
        <v>75650</v>
      </c>
      <c r="J214" s="814">
        <v>39300</v>
      </c>
      <c r="K214" s="696">
        <v>51900</v>
      </c>
      <c r="L214" s="696">
        <v>62900</v>
      </c>
      <c r="M214" s="696">
        <v>83050</v>
      </c>
      <c r="N214" s="814">
        <v>41600</v>
      </c>
      <c r="O214" s="696">
        <v>54950</v>
      </c>
      <c r="P214" s="696">
        <v>66550</v>
      </c>
      <c r="Q214" s="696">
        <v>87850</v>
      </c>
      <c r="R214" s="814">
        <v>41600</v>
      </c>
      <c r="S214" s="696">
        <v>54950</v>
      </c>
      <c r="T214" s="696">
        <v>66550</v>
      </c>
      <c r="U214" s="696">
        <v>87850</v>
      </c>
      <c r="V214" s="843">
        <v>45150</v>
      </c>
      <c r="W214" s="844">
        <v>59600</v>
      </c>
      <c r="X214" s="844">
        <v>72250</v>
      </c>
      <c r="Y214" s="844">
        <v>95400</v>
      </c>
    </row>
    <row r="215" spans="5:25" ht="15" x14ac:dyDescent="0.25">
      <c r="E215" s="697" t="s">
        <v>416</v>
      </c>
      <c r="F215" s="696">
        <v>35800</v>
      </c>
      <c r="G215" s="696">
        <v>47300</v>
      </c>
      <c r="H215" s="696">
        <v>57300</v>
      </c>
      <c r="I215" s="696">
        <v>75650</v>
      </c>
      <c r="J215" s="814">
        <v>39300</v>
      </c>
      <c r="K215" s="696">
        <v>51900</v>
      </c>
      <c r="L215" s="696">
        <v>62900</v>
      </c>
      <c r="M215" s="696">
        <v>83050</v>
      </c>
      <c r="N215" s="814">
        <v>41600</v>
      </c>
      <c r="O215" s="696">
        <v>54950</v>
      </c>
      <c r="P215" s="696">
        <v>66550</v>
      </c>
      <c r="Q215" s="696">
        <v>87850</v>
      </c>
      <c r="R215" s="814">
        <v>41600</v>
      </c>
      <c r="S215" s="696">
        <v>54950</v>
      </c>
      <c r="T215" s="696">
        <v>66550</v>
      </c>
      <c r="U215" s="696">
        <v>87850</v>
      </c>
      <c r="V215" s="843">
        <v>45150</v>
      </c>
      <c r="W215" s="844">
        <v>59600</v>
      </c>
      <c r="X215" s="844">
        <v>72250</v>
      </c>
      <c r="Y215" s="844">
        <v>95400</v>
      </c>
    </row>
    <row r="216" spans="5:25" ht="15" x14ac:dyDescent="0.25">
      <c r="E216" s="697" t="s">
        <v>417</v>
      </c>
      <c r="F216" s="696">
        <v>37500</v>
      </c>
      <c r="G216" s="696">
        <v>49500</v>
      </c>
      <c r="H216" s="696">
        <v>60000</v>
      </c>
      <c r="I216" s="696">
        <v>79200</v>
      </c>
      <c r="J216" s="814">
        <v>41000</v>
      </c>
      <c r="K216" s="696">
        <v>54150</v>
      </c>
      <c r="L216" s="696">
        <v>65600</v>
      </c>
      <c r="M216" s="696">
        <v>86600</v>
      </c>
      <c r="N216" s="814">
        <v>43150</v>
      </c>
      <c r="O216" s="696">
        <v>57000</v>
      </c>
      <c r="P216" s="696">
        <v>69050</v>
      </c>
      <c r="Q216" s="696">
        <v>91150</v>
      </c>
      <c r="R216" s="814">
        <v>46250</v>
      </c>
      <c r="S216" s="696">
        <v>61050</v>
      </c>
      <c r="T216" s="696">
        <v>74000</v>
      </c>
      <c r="U216" s="696">
        <v>97700</v>
      </c>
      <c r="V216" s="843">
        <v>49600</v>
      </c>
      <c r="W216" s="844">
        <v>65500</v>
      </c>
      <c r="X216" s="844">
        <v>79350</v>
      </c>
      <c r="Y216" s="844">
        <v>104750</v>
      </c>
    </row>
    <row r="217" spans="5:25" ht="15" x14ac:dyDescent="0.25">
      <c r="E217" s="697" t="s">
        <v>418</v>
      </c>
      <c r="F217" s="696">
        <v>35800</v>
      </c>
      <c r="G217" s="696">
        <v>47300</v>
      </c>
      <c r="H217" s="696">
        <v>57300</v>
      </c>
      <c r="I217" s="696">
        <v>75650</v>
      </c>
      <c r="J217" s="814">
        <v>39300</v>
      </c>
      <c r="K217" s="696">
        <v>51900</v>
      </c>
      <c r="L217" s="696">
        <v>62900</v>
      </c>
      <c r="M217" s="696">
        <v>83050</v>
      </c>
      <c r="N217" s="814">
        <v>41600</v>
      </c>
      <c r="O217" s="696">
        <v>54950</v>
      </c>
      <c r="P217" s="696">
        <v>66550</v>
      </c>
      <c r="Q217" s="696">
        <v>87850</v>
      </c>
      <c r="R217" s="814">
        <v>45600</v>
      </c>
      <c r="S217" s="696">
        <v>60200</v>
      </c>
      <c r="T217" s="696">
        <v>72950</v>
      </c>
      <c r="U217" s="696">
        <v>96300</v>
      </c>
      <c r="V217" s="843">
        <v>48750</v>
      </c>
      <c r="W217" s="844">
        <v>64350</v>
      </c>
      <c r="X217" s="844">
        <v>78000</v>
      </c>
      <c r="Y217" s="844">
        <v>103000</v>
      </c>
    </row>
    <row r="218" spans="5:25" ht="15" x14ac:dyDescent="0.25">
      <c r="E218" s="697" t="s">
        <v>419</v>
      </c>
      <c r="F218" s="696">
        <v>43900</v>
      </c>
      <c r="G218" s="696">
        <v>57950</v>
      </c>
      <c r="H218" s="696">
        <v>70250</v>
      </c>
      <c r="I218" s="696">
        <v>92750</v>
      </c>
      <c r="J218" s="814">
        <v>47550</v>
      </c>
      <c r="K218" s="696">
        <v>62800</v>
      </c>
      <c r="L218" s="696">
        <v>76100</v>
      </c>
      <c r="M218" s="696">
        <v>100450</v>
      </c>
      <c r="N218" s="814">
        <v>50350</v>
      </c>
      <c r="O218" s="696">
        <v>66500</v>
      </c>
      <c r="P218" s="696">
        <v>80550</v>
      </c>
      <c r="Q218" s="696">
        <v>106350</v>
      </c>
      <c r="R218" s="814">
        <v>54750</v>
      </c>
      <c r="S218" s="696">
        <v>72300</v>
      </c>
      <c r="T218" s="696">
        <v>87600</v>
      </c>
      <c r="U218" s="696">
        <v>115650</v>
      </c>
      <c r="V218" s="843">
        <v>56850</v>
      </c>
      <c r="W218" s="844">
        <v>75050</v>
      </c>
      <c r="X218" s="844">
        <v>90950</v>
      </c>
      <c r="Y218" s="844">
        <v>120100</v>
      </c>
    </row>
    <row r="219" spans="5:25" ht="15" x14ac:dyDescent="0.25">
      <c r="E219" s="697" t="s">
        <v>420</v>
      </c>
      <c r="F219" s="696">
        <v>35800</v>
      </c>
      <c r="G219" s="696">
        <v>47300</v>
      </c>
      <c r="H219" s="696">
        <v>57300</v>
      </c>
      <c r="I219" s="696">
        <v>75650</v>
      </c>
      <c r="J219" s="814">
        <v>39300</v>
      </c>
      <c r="K219" s="696">
        <v>51900</v>
      </c>
      <c r="L219" s="696">
        <v>62900</v>
      </c>
      <c r="M219" s="696">
        <v>83050</v>
      </c>
      <c r="N219" s="814">
        <v>41600</v>
      </c>
      <c r="O219" s="696">
        <v>54950</v>
      </c>
      <c r="P219" s="696">
        <v>66550</v>
      </c>
      <c r="Q219" s="696">
        <v>87850</v>
      </c>
      <c r="R219" s="814">
        <v>45750</v>
      </c>
      <c r="S219" s="696">
        <v>60400</v>
      </c>
      <c r="T219" s="696">
        <v>73200</v>
      </c>
      <c r="U219" s="696">
        <v>96600</v>
      </c>
      <c r="V219" s="843">
        <v>48650</v>
      </c>
      <c r="W219" s="844">
        <v>64250</v>
      </c>
      <c r="X219" s="844">
        <v>77850</v>
      </c>
      <c r="Y219" s="844">
        <v>102800</v>
      </c>
    </row>
    <row r="220" spans="5:25" ht="15" x14ac:dyDescent="0.25">
      <c r="E220" s="697" t="s">
        <v>421</v>
      </c>
      <c r="F220" s="696">
        <v>38100</v>
      </c>
      <c r="G220" s="696">
        <v>50300</v>
      </c>
      <c r="H220" s="696">
        <v>60950</v>
      </c>
      <c r="I220" s="696">
        <v>80450</v>
      </c>
      <c r="J220" s="814">
        <v>42600</v>
      </c>
      <c r="K220" s="696">
        <v>56250</v>
      </c>
      <c r="L220" s="696">
        <v>68150</v>
      </c>
      <c r="M220" s="696">
        <v>89950</v>
      </c>
      <c r="N220" s="814">
        <v>45100</v>
      </c>
      <c r="O220" s="696">
        <v>59550</v>
      </c>
      <c r="P220" s="696">
        <v>72150</v>
      </c>
      <c r="Q220" s="696">
        <v>95250</v>
      </c>
      <c r="R220" s="814">
        <v>49600</v>
      </c>
      <c r="S220" s="696">
        <v>65500</v>
      </c>
      <c r="T220" s="696">
        <v>79350</v>
      </c>
      <c r="U220" s="696">
        <v>104750</v>
      </c>
      <c r="V220" s="843">
        <v>53950</v>
      </c>
      <c r="W220" s="844">
        <v>71250</v>
      </c>
      <c r="X220" s="844">
        <v>86300</v>
      </c>
      <c r="Y220" s="844">
        <v>113950</v>
      </c>
    </row>
    <row r="221" spans="5:25" ht="15" x14ac:dyDescent="0.25">
      <c r="E221" s="697" t="s">
        <v>422</v>
      </c>
      <c r="F221" s="696">
        <v>35800</v>
      </c>
      <c r="G221" s="696">
        <v>47300</v>
      </c>
      <c r="H221" s="696">
        <v>57300</v>
      </c>
      <c r="I221" s="696">
        <v>75650</v>
      </c>
      <c r="J221" s="814">
        <v>39300</v>
      </c>
      <c r="K221" s="696">
        <v>51900</v>
      </c>
      <c r="L221" s="696">
        <v>62900</v>
      </c>
      <c r="M221" s="696">
        <v>83050</v>
      </c>
      <c r="N221" s="814">
        <v>41600</v>
      </c>
      <c r="O221" s="696">
        <v>54950</v>
      </c>
      <c r="P221" s="696">
        <v>66550</v>
      </c>
      <c r="Q221" s="696">
        <v>87850</v>
      </c>
      <c r="R221" s="814">
        <v>41600</v>
      </c>
      <c r="S221" s="696">
        <v>54950</v>
      </c>
      <c r="T221" s="696">
        <v>66550</v>
      </c>
      <c r="U221" s="696">
        <v>87850</v>
      </c>
      <c r="V221" s="843">
        <v>45150</v>
      </c>
      <c r="W221" s="844">
        <v>59600</v>
      </c>
      <c r="X221" s="844">
        <v>72250</v>
      </c>
      <c r="Y221" s="844">
        <v>95400</v>
      </c>
    </row>
    <row r="222" spans="5:25" ht="15" x14ac:dyDescent="0.25">
      <c r="E222" s="697" t="s">
        <v>423</v>
      </c>
      <c r="F222" s="696">
        <v>35800</v>
      </c>
      <c r="G222" s="696">
        <v>47300</v>
      </c>
      <c r="H222" s="696">
        <v>57300</v>
      </c>
      <c r="I222" s="696">
        <v>75650</v>
      </c>
      <c r="J222" s="814">
        <v>39300</v>
      </c>
      <c r="K222" s="696">
        <v>51900</v>
      </c>
      <c r="L222" s="696">
        <v>62900</v>
      </c>
      <c r="M222" s="696">
        <v>83050</v>
      </c>
      <c r="N222" s="814">
        <v>41600</v>
      </c>
      <c r="O222" s="696">
        <v>54950</v>
      </c>
      <c r="P222" s="696">
        <v>66550</v>
      </c>
      <c r="Q222" s="696">
        <v>87850</v>
      </c>
      <c r="R222" s="814">
        <v>41600</v>
      </c>
      <c r="S222" s="696">
        <v>54950</v>
      </c>
      <c r="T222" s="696">
        <v>66550</v>
      </c>
      <c r="U222" s="696">
        <v>87850</v>
      </c>
      <c r="V222" s="843">
        <v>45150</v>
      </c>
      <c r="W222" s="844">
        <v>59600</v>
      </c>
      <c r="X222" s="844">
        <v>72250</v>
      </c>
      <c r="Y222" s="844">
        <v>95400</v>
      </c>
    </row>
    <row r="223" spans="5:25" ht="15" x14ac:dyDescent="0.25">
      <c r="E223" s="697" t="s">
        <v>424</v>
      </c>
      <c r="F223" s="696">
        <v>35800</v>
      </c>
      <c r="G223" s="696">
        <v>47300</v>
      </c>
      <c r="H223" s="696">
        <v>57300</v>
      </c>
      <c r="I223" s="696">
        <v>75650</v>
      </c>
      <c r="J223" s="814">
        <v>39300</v>
      </c>
      <c r="K223" s="696">
        <v>51900</v>
      </c>
      <c r="L223" s="696">
        <v>62900</v>
      </c>
      <c r="M223" s="696">
        <v>83050</v>
      </c>
      <c r="N223" s="814">
        <v>41600</v>
      </c>
      <c r="O223" s="696">
        <v>54950</v>
      </c>
      <c r="P223" s="696">
        <v>66550</v>
      </c>
      <c r="Q223" s="696">
        <v>87850</v>
      </c>
      <c r="R223" s="814">
        <v>41600</v>
      </c>
      <c r="S223" s="696">
        <v>54950</v>
      </c>
      <c r="T223" s="696">
        <v>66550</v>
      </c>
      <c r="U223" s="696">
        <v>87850</v>
      </c>
      <c r="V223" s="843">
        <v>45150</v>
      </c>
      <c r="W223" s="844">
        <v>59600</v>
      </c>
      <c r="X223" s="844">
        <v>72250</v>
      </c>
      <c r="Y223" s="844">
        <v>95400</v>
      </c>
    </row>
    <row r="224" spans="5:25" ht="15" x14ac:dyDescent="0.25">
      <c r="E224" s="697" t="s">
        <v>425</v>
      </c>
      <c r="F224" s="696">
        <v>35850</v>
      </c>
      <c r="G224" s="696">
        <v>47350</v>
      </c>
      <c r="H224" s="696">
        <v>57350</v>
      </c>
      <c r="I224" s="696">
        <v>75700</v>
      </c>
      <c r="J224" s="814">
        <v>40100</v>
      </c>
      <c r="K224" s="696">
        <v>52950</v>
      </c>
      <c r="L224" s="696">
        <v>64150</v>
      </c>
      <c r="M224" s="696">
        <v>84700</v>
      </c>
      <c r="N224" s="814">
        <v>42450</v>
      </c>
      <c r="O224" s="696">
        <v>56050</v>
      </c>
      <c r="P224" s="696">
        <v>67900</v>
      </c>
      <c r="Q224" s="696">
        <v>89650</v>
      </c>
      <c r="R224" s="814">
        <v>43900</v>
      </c>
      <c r="S224" s="696">
        <v>57950</v>
      </c>
      <c r="T224" s="696">
        <v>70250</v>
      </c>
      <c r="U224" s="696">
        <v>92750</v>
      </c>
      <c r="V224" s="843">
        <v>47650</v>
      </c>
      <c r="W224" s="844">
        <v>62900</v>
      </c>
      <c r="X224" s="844">
        <v>76250</v>
      </c>
      <c r="Y224" s="844">
        <v>100650</v>
      </c>
    </row>
    <row r="225" spans="5:25" ht="15" x14ac:dyDescent="0.25">
      <c r="E225" s="697" t="s">
        <v>426</v>
      </c>
      <c r="F225" s="696">
        <v>37200</v>
      </c>
      <c r="G225" s="696">
        <v>49150</v>
      </c>
      <c r="H225" s="696">
        <v>59500</v>
      </c>
      <c r="I225" s="696">
        <v>78550</v>
      </c>
      <c r="J225" s="814">
        <v>39300</v>
      </c>
      <c r="K225" s="696">
        <v>51900</v>
      </c>
      <c r="L225" s="696">
        <v>62900</v>
      </c>
      <c r="M225" s="696">
        <v>83050</v>
      </c>
      <c r="N225" s="814">
        <v>41600</v>
      </c>
      <c r="O225" s="696">
        <v>54950</v>
      </c>
      <c r="P225" s="696">
        <v>66550</v>
      </c>
      <c r="Q225" s="696">
        <v>87850</v>
      </c>
      <c r="R225" s="814">
        <v>41600</v>
      </c>
      <c r="S225" s="696">
        <v>54950</v>
      </c>
      <c r="T225" s="696">
        <v>66550</v>
      </c>
      <c r="U225" s="696">
        <v>87850</v>
      </c>
      <c r="V225" s="843">
        <v>45150</v>
      </c>
      <c r="W225" s="844">
        <v>59600</v>
      </c>
      <c r="X225" s="844">
        <v>72250</v>
      </c>
      <c r="Y225" s="844">
        <v>95400</v>
      </c>
    </row>
    <row r="226" spans="5:25" ht="15" x14ac:dyDescent="0.25">
      <c r="E226" s="697" t="s">
        <v>427</v>
      </c>
      <c r="F226" s="696">
        <v>35800</v>
      </c>
      <c r="G226" s="696">
        <v>47300</v>
      </c>
      <c r="H226" s="696">
        <v>57300</v>
      </c>
      <c r="I226" s="696">
        <v>75650</v>
      </c>
      <c r="J226" s="814">
        <v>39300</v>
      </c>
      <c r="K226" s="696">
        <v>51900</v>
      </c>
      <c r="L226" s="696">
        <v>62900</v>
      </c>
      <c r="M226" s="696">
        <v>83050</v>
      </c>
      <c r="N226" s="814">
        <v>41600</v>
      </c>
      <c r="O226" s="696">
        <v>54950</v>
      </c>
      <c r="P226" s="696">
        <v>66550</v>
      </c>
      <c r="Q226" s="696">
        <v>87850</v>
      </c>
      <c r="R226" s="814">
        <v>41600</v>
      </c>
      <c r="S226" s="696">
        <v>54950</v>
      </c>
      <c r="T226" s="696">
        <v>66550</v>
      </c>
      <c r="U226" s="696">
        <v>87850</v>
      </c>
      <c r="V226" s="843">
        <v>45150</v>
      </c>
      <c r="W226" s="844">
        <v>59600</v>
      </c>
      <c r="X226" s="844">
        <v>72250</v>
      </c>
      <c r="Y226" s="844">
        <v>95400</v>
      </c>
    </row>
    <row r="227" spans="5:25" ht="15" x14ac:dyDescent="0.25">
      <c r="E227" s="697" t="s">
        <v>428</v>
      </c>
      <c r="F227" s="696">
        <v>42350</v>
      </c>
      <c r="G227" s="696">
        <v>55950</v>
      </c>
      <c r="H227" s="696">
        <v>67750</v>
      </c>
      <c r="I227" s="696">
        <v>89450</v>
      </c>
      <c r="J227" s="814">
        <v>44950</v>
      </c>
      <c r="K227" s="696">
        <v>59350</v>
      </c>
      <c r="L227" s="696">
        <v>71900</v>
      </c>
      <c r="M227" s="696">
        <v>94900</v>
      </c>
      <c r="N227" s="814">
        <v>44950</v>
      </c>
      <c r="O227" s="696">
        <v>59350</v>
      </c>
      <c r="P227" s="696">
        <v>71900</v>
      </c>
      <c r="Q227" s="696">
        <v>94900</v>
      </c>
      <c r="R227" s="814">
        <v>44950</v>
      </c>
      <c r="S227" s="696">
        <v>59350</v>
      </c>
      <c r="T227" s="696">
        <v>71900</v>
      </c>
      <c r="U227" s="696">
        <v>94950</v>
      </c>
      <c r="V227" s="843">
        <v>47150</v>
      </c>
      <c r="W227" s="844">
        <v>62250</v>
      </c>
      <c r="X227" s="844">
        <v>75450</v>
      </c>
      <c r="Y227" s="844">
        <v>99600</v>
      </c>
    </row>
    <row r="228" spans="5:25" ht="15" x14ac:dyDescent="0.25">
      <c r="E228" s="697" t="s">
        <v>429</v>
      </c>
      <c r="F228" s="696">
        <v>35800</v>
      </c>
      <c r="G228" s="696">
        <v>47300</v>
      </c>
      <c r="H228" s="696">
        <v>57300</v>
      </c>
      <c r="I228" s="696">
        <v>75650</v>
      </c>
      <c r="J228" s="814">
        <v>39300</v>
      </c>
      <c r="K228" s="696">
        <v>51900</v>
      </c>
      <c r="L228" s="696">
        <v>62900</v>
      </c>
      <c r="M228" s="696">
        <v>83050</v>
      </c>
      <c r="N228" s="814">
        <v>41600</v>
      </c>
      <c r="O228" s="696">
        <v>54950</v>
      </c>
      <c r="P228" s="696">
        <v>66550</v>
      </c>
      <c r="Q228" s="696">
        <v>87850</v>
      </c>
      <c r="R228" s="814">
        <v>41600</v>
      </c>
      <c r="S228" s="696">
        <v>54950</v>
      </c>
      <c r="T228" s="696">
        <v>66550</v>
      </c>
      <c r="U228" s="696">
        <v>87850</v>
      </c>
      <c r="V228" s="843">
        <v>45150</v>
      </c>
      <c r="W228" s="844">
        <v>59600</v>
      </c>
      <c r="X228" s="844">
        <v>72250</v>
      </c>
      <c r="Y228" s="844">
        <v>95400</v>
      </c>
    </row>
    <row r="229" spans="5:25" ht="15" x14ac:dyDescent="0.25">
      <c r="E229" s="697" t="s">
        <v>430</v>
      </c>
      <c r="F229" s="696">
        <v>35800</v>
      </c>
      <c r="G229" s="696">
        <v>47300</v>
      </c>
      <c r="H229" s="696">
        <v>57300</v>
      </c>
      <c r="I229" s="696">
        <v>75650</v>
      </c>
      <c r="J229" s="814">
        <v>39300</v>
      </c>
      <c r="K229" s="696">
        <v>51900</v>
      </c>
      <c r="L229" s="696">
        <v>62900</v>
      </c>
      <c r="M229" s="696">
        <v>83050</v>
      </c>
      <c r="N229" s="814">
        <v>41600</v>
      </c>
      <c r="O229" s="696">
        <v>54950</v>
      </c>
      <c r="P229" s="696">
        <v>66550</v>
      </c>
      <c r="Q229" s="696">
        <v>87850</v>
      </c>
      <c r="R229" s="814">
        <v>41600</v>
      </c>
      <c r="S229" s="696">
        <v>54950</v>
      </c>
      <c r="T229" s="696">
        <v>66550</v>
      </c>
      <c r="U229" s="696">
        <v>87850</v>
      </c>
      <c r="V229" s="843">
        <v>45150</v>
      </c>
      <c r="W229" s="844">
        <v>59600</v>
      </c>
      <c r="X229" s="844">
        <v>72250</v>
      </c>
      <c r="Y229" s="844">
        <v>95400</v>
      </c>
    </row>
    <row r="230" spans="5:25" ht="15" x14ac:dyDescent="0.25">
      <c r="E230" s="697" t="s">
        <v>431</v>
      </c>
      <c r="F230" s="696">
        <v>35800</v>
      </c>
      <c r="G230" s="696">
        <v>47300</v>
      </c>
      <c r="H230" s="696">
        <v>57300</v>
      </c>
      <c r="I230" s="696">
        <v>75650</v>
      </c>
      <c r="J230" s="814">
        <v>39300</v>
      </c>
      <c r="K230" s="696">
        <v>51900</v>
      </c>
      <c r="L230" s="696">
        <v>62900</v>
      </c>
      <c r="M230" s="696">
        <v>83050</v>
      </c>
      <c r="N230" s="814">
        <v>41600</v>
      </c>
      <c r="O230" s="696">
        <v>54950</v>
      </c>
      <c r="P230" s="696">
        <v>66550</v>
      </c>
      <c r="Q230" s="696">
        <v>87850</v>
      </c>
      <c r="R230" s="814">
        <v>41600</v>
      </c>
      <c r="S230" s="696">
        <v>54950</v>
      </c>
      <c r="T230" s="696">
        <v>66550</v>
      </c>
      <c r="U230" s="696">
        <v>87850</v>
      </c>
      <c r="V230" s="843">
        <v>45150</v>
      </c>
      <c r="W230" s="844">
        <v>59600</v>
      </c>
      <c r="X230" s="844">
        <v>72250</v>
      </c>
      <c r="Y230" s="844">
        <v>95400</v>
      </c>
    </row>
    <row r="231" spans="5:25" ht="15" x14ac:dyDescent="0.25">
      <c r="E231" s="697" t="s">
        <v>432</v>
      </c>
      <c r="F231" s="696">
        <v>40500</v>
      </c>
      <c r="G231" s="696">
        <v>53500</v>
      </c>
      <c r="H231" s="696">
        <v>64800</v>
      </c>
      <c r="I231" s="696">
        <v>85550</v>
      </c>
      <c r="J231" s="814">
        <v>43150</v>
      </c>
      <c r="K231" s="696">
        <v>57000</v>
      </c>
      <c r="L231" s="696">
        <v>69050</v>
      </c>
      <c r="M231" s="696">
        <v>91150</v>
      </c>
      <c r="N231" s="814">
        <v>45700</v>
      </c>
      <c r="O231" s="696">
        <v>60350</v>
      </c>
      <c r="P231" s="696">
        <v>73100</v>
      </c>
      <c r="Q231" s="696">
        <v>96500</v>
      </c>
      <c r="R231" s="814">
        <v>48250</v>
      </c>
      <c r="S231" s="696">
        <v>63700</v>
      </c>
      <c r="T231" s="696">
        <v>77200</v>
      </c>
      <c r="U231" s="696">
        <v>101950</v>
      </c>
      <c r="V231" s="843">
        <v>52700</v>
      </c>
      <c r="W231" s="844">
        <v>69550</v>
      </c>
      <c r="X231" s="844">
        <v>84300</v>
      </c>
      <c r="Y231" s="844">
        <v>111300</v>
      </c>
    </row>
    <row r="232" spans="5:25" ht="15" x14ac:dyDescent="0.25">
      <c r="E232" s="697" t="s">
        <v>433</v>
      </c>
      <c r="F232" s="696">
        <v>35800</v>
      </c>
      <c r="G232" s="696">
        <v>47300</v>
      </c>
      <c r="H232" s="696">
        <v>57300</v>
      </c>
      <c r="I232" s="696">
        <v>75650</v>
      </c>
      <c r="J232" s="814">
        <v>39300</v>
      </c>
      <c r="K232" s="696">
        <v>51900</v>
      </c>
      <c r="L232" s="696">
        <v>62900</v>
      </c>
      <c r="M232" s="696">
        <v>83050</v>
      </c>
      <c r="N232" s="814">
        <v>41600</v>
      </c>
      <c r="O232" s="696">
        <v>54950</v>
      </c>
      <c r="P232" s="696">
        <v>66550</v>
      </c>
      <c r="Q232" s="696">
        <v>87850</v>
      </c>
      <c r="R232" s="814">
        <v>45750</v>
      </c>
      <c r="S232" s="696">
        <v>60400</v>
      </c>
      <c r="T232" s="696">
        <v>73200</v>
      </c>
      <c r="U232" s="696">
        <v>96600</v>
      </c>
      <c r="V232" s="843">
        <v>49950</v>
      </c>
      <c r="W232" s="844">
        <v>65950</v>
      </c>
      <c r="X232" s="844">
        <v>79900</v>
      </c>
      <c r="Y232" s="844">
        <v>105500</v>
      </c>
    </row>
    <row r="233" spans="5:25" ht="15" x14ac:dyDescent="0.25">
      <c r="E233" s="697" t="s">
        <v>434</v>
      </c>
      <c r="F233" s="696">
        <v>35800</v>
      </c>
      <c r="G233" s="696">
        <v>47300</v>
      </c>
      <c r="H233" s="696">
        <v>57300</v>
      </c>
      <c r="I233" s="696">
        <v>75650</v>
      </c>
      <c r="J233" s="814">
        <v>39300</v>
      </c>
      <c r="K233" s="696">
        <v>51900</v>
      </c>
      <c r="L233" s="696">
        <v>62900</v>
      </c>
      <c r="M233" s="696">
        <v>83050</v>
      </c>
      <c r="N233" s="814">
        <v>41600</v>
      </c>
      <c r="O233" s="696">
        <v>54950</v>
      </c>
      <c r="P233" s="696">
        <v>66550</v>
      </c>
      <c r="Q233" s="696">
        <v>87850</v>
      </c>
      <c r="R233" s="814">
        <v>42000</v>
      </c>
      <c r="S233" s="696">
        <v>55450</v>
      </c>
      <c r="T233" s="696">
        <v>67200</v>
      </c>
      <c r="U233" s="696">
        <v>88750</v>
      </c>
      <c r="V233" s="843">
        <v>45850</v>
      </c>
      <c r="W233" s="844">
        <v>60550</v>
      </c>
      <c r="X233" s="844">
        <v>73350</v>
      </c>
      <c r="Y233" s="844">
        <v>96850</v>
      </c>
    </row>
    <row r="234" spans="5:25" ht="15" x14ac:dyDescent="0.25">
      <c r="E234" s="697" t="s">
        <v>435</v>
      </c>
      <c r="F234" s="696">
        <v>35800</v>
      </c>
      <c r="G234" s="696">
        <v>47300</v>
      </c>
      <c r="H234" s="696">
        <v>57300</v>
      </c>
      <c r="I234" s="696">
        <v>75650</v>
      </c>
      <c r="J234" s="814">
        <v>39300</v>
      </c>
      <c r="K234" s="696">
        <v>51900</v>
      </c>
      <c r="L234" s="696">
        <v>62900</v>
      </c>
      <c r="M234" s="696">
        <v>83050</v>
      </c>
      <c r="N234" s="814">
        <v>41600</v>
      </c>
      <c r="O234" s="696">
        <v>54950</v>
      </c>
      <c r="P234" s="696">
        <v>66550</v>
      </c>
      <c r="Q234" s="696">
        <v>87850</v>
      </c>
      <c r="R234" s="814">
        <v>41600</v>
      </c>
      <c r="S234" s="696">
        <v>54950</v>
      </c>
      <c r="T234" s="696">
        <v>66550</v>
      </c>
      <c r="U234" s="696">
        <v>87850</v>
      </c>
      <c r="V234" s="843">
        <v>45150</v>
      </c>
      <c r="W234" s="844">
        <v>59600</v>
      </c>
      <c r="X234" s="844">
        <v>72250</v>
      </c>
      <c r="Y234" s="844">
        <v>95400</v>
      </c>
    </row>
    <row r="235" spans="5:25" ht="15" x14ac:dyDescent="0.25">
      <c r="E235" s="697" t="s">
        <v>436</v>
      </c>
      <c r="F235" s="696">
        <v>37050</v>
      </c>
      <c r="G235" s="696">
        <v>48950</v>
      </c>
      <c r="H235" s="696">
        <v>59300</v>
      </c>
      <c r="I235" s="696">
        <v>78300</v>
      </c>
      <c r="J235" s="814">
        <v>40700</v>
      </c>
      <c r="K235" s="696">
        <v>53750</v>
      </c>
      <c r="L235" s="696">
        <v>65100</v>
      </c>
      <c r="M235" s="696">
        <v>85950</v>
      </c>
      <c r="N235" s="814">
        <v>43100</v>
      </c>
      <c r="O235" s="696">
        <v>56900</v>
      </c>
      <c r="P235" s="696">
        <v>68950</v>
      </c>
      <c r="Q235" s="696">
        <v>91000</v>
      </c>
      <c r="R235" s="814">
        <v>43100</v>
      </c>
      <c r="S235" s="696">
        <v>56900</v>
      </c>
      <c r="T235" s="696">
        <v>68950</v>
      </c>
      <c r="U235" s="696">
        <v>91050</v>
      </c>
      <c r="V235" s="843">
        <v>46450</v>
      </c>
      <c r="W235" s="844">
        <v>61350</v>
      </c>
      <c r="X235" s="844">
        <v>74300</v>
      </c>
      <c r="Y235" s="844">
        <v>98100</v>
      </c>
    </row>
    <row r="236" spans="5:25" ht="15" x14ac:dyDescent="0.25">
      <c r="E236" s="697" t="s">
        <v>437</v>
      </c>
      <c r="F236" s="696">
        <v>35800</v>
      </c>
      <c r="G236" s="696">
        <v>47300</v>
      </c>
      <c r="H236" s="696">
        <v>57300</v>
      </c>
      <c r="I236" s="696">
        <v>75650</v>
      </c>
      <c r="J236" s="814">
        <v>39300</v>
      </c>
      <c r="K236" s="696">
        <v>51900</v>
      </c>
      <c r="L236" s="696">
        <v>62900</v>
      </c>
      <c r="M236" s="696">
        <v>83050</v>
      </c>
      <c r="N236" s="814">
        <v>41600</v>
      </c>
      <c r="O236" s="696">
        <v>54950</v>
      </c>
      <c r="P236" s="696">
        <v>66550</v>
      </c>
      <c r="Q236" s="696">
        <v>87850</v>
      </c>
      <c r="R236" s="814">
        <v>45750</v>
      </c>
      <c r="S236" s="696">
        <v>60400</v>
      </c>
      <c r="T236" s="696">
        <v>73200</v>
      </c>
      <c r="U236" s="696">
        <v>96600</v>
      </c>
      <c r="V236" s="843">
        <v>49950</v>
      </c>
      <c r="W236" s="844">
        <v>65950</v>
      </c>
      <c r="X236" s="844">
        <v>79900</v>
      </c>
      <c r="Y236" s="844">
        <v>105500</v>
      </c>
    </row>
    <row r="237" spans="5:25" ht="15" x14ac:dyDescent="0.25">
      <c r="E237" s="697" t="s">
        <v>438</v>
      </c>
      <c r="F237" s="696">
        <v>36950</v>
      </c>
      <c r="G237" s="696">
        <v>48800</v>
      </c>
      <c r="H237" s="696">
        <v>59100</v>
      </c>
      <c r="I237" s="696">
        <v>78000</v>
      </c>
      <c r="J237" s="814">
        <v>41100</v>
      </c>
      <c r="K237" s="696">
        <v>54300</v>
      </c>
      <c r="L237" s="696">
        <v>65750</v>
      </c>
      <c r="M237" s="696">
        <v>86800</v>
      </c>
      <c r="N237" s="814">
        <v>43500</v>
      </c>
      <c r="O237" s="696">
        <v>57450</v>
      </c>
      <c r="P237" s="696">
        <v>69600</v>
      </c>
      <c r="Q237" s="696">
        <v>91850</v>
      </c>
      <c r="R237" s="814">
        <v>46950</v>
      </c>
      <c r="S237" s="696">
        <v>62000</v>
      </c>
      <c r="T237" s="696">
        <v>75100</v>
      </c>
      <c r="U237" s="696">
        <v>99150</v>
      </c>
      <c r="V237" s="843">
        <v>48850</v>
      </c>
      <c r="W237" s="844">
        <v>64500</v>
      </c>
      <c r="X237" s="844">
        <v>78150</v>
      </c>
      <c r="Y237" s="844">
        <v>103200</v>
      </c>
    </row>
    <row r="238" spans="5:25" ht="15" x14ac:dyDescent="0.25">
      <c r="E238" s="697" t="s">
        <v>439</v>
      </c>
      <c r="F238" s="696">
        <v>35800</v>
      </c>
      <c r="G238" s="696">
        <v>47300</v>
      </c>
      <c r="H238" s="696">
        <v>57300</v>
      </c>
      <c r="I238" s="696">
        <v>75650</v>
      </c>
      <c r="J238" s="814">
        <v>39300</v>
      </c>
      <c r="K238" s="696">
        <v>51900</v>
      </c>
      <c r="L238" s="696">
        <v>62900</v>
      </c>
      <c r="M238" s="696">
        <v>83050</v>
      </c>
      <c r="N238" s="814">
        <v>41600</v>
      </c>
      <c r="O238" s="696">
        <v>54950</v>
      </c>
      <c r="P238" s="696">
        <v>66550</v>
      </c>
      <c r="Q238" s="696">
        <v>87850</v>
      </c>
      <c r="R238" s="814">
        <v>41600</v>
      </c>
      <c r="S238" s="696">
        <v>54950</v>
      </c>
      <c r="T238" s="696">
        <v>66550</v>
      </c>
      <c r="U238" s="696">
        <v>87850</v>
      </c>
      <c r="V238" s="843">
        <v>45150</v>
      </c>
      <c r="W238" s="844">
        <v>59600</v>
      </c>
      <c r="X238" s="844">
        <v>72250</v>
      </c>
      <c r="Y238" s="844">
        <v>95400</v>
      </c>
    </row>
    <row r="239" spans="5:25" ht="15" x14ac:dyDescent="0.25">
      <c r="E239" s="697" t="s">
        <v>440</v>
      </c>
      <c r="F239" s="696">
        <v>35800</v>
      </c>
      <c r="G239" s="696">
        <v>47300</v>
      </c>
      <c r="H239" s="696">
        <v>57300</v>
      </c>
      <c r="I239" s="696">
        <v>75650</v>
      </c>
      <c r="J239" s="814">
        <v>39300</v>
      </c>
      <c r="K239" s="696">
        <v>51900</v>
      </c>
      <c r="L239" s="696">
        <v>62900</v>
      </c>
      <c r="M239" s="696">
        <v>83050</v>
      </c>
      <c r="N239" s="814">
        <v>41600</v>
      </c>
      <c r="O239" s="696">
        <v>54950</v>
      </c>
      <c r="P239" s="696">
        <v>66550</v>
      </c>
      <c r="Q239" s="696">
        <v>87850</v>
      </c>
      <c r="R239" s="814">
        <v>41600</v>
      </c>
      <c r="S239" s="696">
        <v>54950</v>
      </c>
      <c r="T239" s="696">
        <v>66550</v>
      </c>
      <c r="U239" s="696">
        <v>87850</v>
      </c>
      <c r="V239" s="843">
        <v>45150</v>
      </c>
      <c r="W239" s="844">
        <v>59600</v>
      </c>
      <c r="X239" s="844">
        <v>72250</v>
      </c>
      <c r="Y239" s="844">
        <v>95400</v>
      </c>
    </row>
    <row r="240" spans="5:25" ht="15" x14ac:dyDescent="0.25">
      <c r="E240" s="697" t="s">
        <v>441</v>
      </c>
      <c r="F240" s="696">
        <v>39800</v>
      </c>
      <c r="G240" s="696">
        <v>52550</v>
      </c>
      <c r="H240" s="696">
        <v>63700</v>
      </c>
      <c r="I240" s="696">
        <v>84100</v>
      </c>
      <c r="J240" s="814">
        <v>43500</v>
      </c>
      <c r="K240" s="696">
        <v>57450</v>
      </c>
      <c r="L240" s="696">
        <v>69600</v>
      </c>
      <c r="M240" s="696">
        <v>91850</v>
      </c>
      <c r="N240" s="814">
        <v>45000</v>
      </c>
      <c r="O240" s="696">
        <v>59400</v>
      </c>
      <c r="P240" s="696">
        <v>72000</v>
      </c>
      <c r="Q240" s="696">
        <v>95050</v>
      </c>
      <c r="R240" s="814">
        <v>46450</v>
      </c>
      <c r="S240" s="696">
        <v>61350</v>
      </c>
      <c r="T240" s="696">
        <v>74300</v>
      </c>
      <c r="U240" s="696">
        <v>98100</v>
      </c>
      <c r="V240" s="843">
        <v>50700</v>
      </c>
      <c r="W240" s="844">
        <v>66950</v>
      </c>
      <c r="X240" s="844">
        <v>81100</v>
      </c>
      <c r="Y240" s="844">
        <v>107100</v>
      </c>
    </row>
    <row r="241" spans="5:25" ht="15" x14ac:dyDescent="0.25">
      <c r="E241" s="697" t="s">
        <v>442</v>
      </c>
      <c r="F241" s="696">
        <v>35800</v>
      </c>
      <c r="G241" s="696">
        <v>47300</v>
      </c>
      <c r="H241" s="696">
        <v>57300</v>
      </c>
      <c r="I241" s="696">
        <v>75650</v>
      </c>
      <c r="J241" s="814">
        <v>39300</v>
      </c>
      <c r="K241" s="696">
        <v>51900</v>
      </c>
      <c r="L241" s="696">
        <v>62900</v>
      </c>
      <c r="M241" s="696">
        <v>83050</v>
      </c>
      <c r="N241" s="814">
        <v>41600</v>
      </c>
      <c r="O241" s="696">
        <v>54950</v>
      </c>
      <c r="P241" s="696">
        <v>66550</v>
      </c>
      <c r="Q241" s="696">
        <v>87850</v>
      </c>
      <c r="R241" s="814">
        <v>41600</v>
      </c>
      <c r="S241" s="696">
        <v>54950</v>
      </c>
      <c r="T241" s="696">
        <v>66550</v>
      </c>
      <c r="U241" s="696">
        <v>87850</v>
      </c>
      <c r="V241" s="843">
        <v>45150</v>
      </c>
      <c r="W241" s="844">
        <v>59600</v>
      </c>
      <c r="X241" s="844">
        <v>72250</v>
      </c>
      <c r="Y241" s="844">
        <v>95400</v>
      </c>
    </row>
    <row r="242" spans="5:25" ht="15" x14ac:dyDescent="0.25">
      <c r="E242" s="697" t="s">
        <v>443</v>
      </c>
      <c r="F242" s="696">
        <v>35800</v>
      </c>
      <c r="G242" s="696">
        <v>47300</v>
      </c>
      <c r="H242" s="696">
        <v>57300</v>
      </c>
      <c r="I242" s="696">
        <v>75650</v>
      </c>
      <c r="J242" s="814">
        <v>39300</v>
      </c>
      <c r="K242" s="696">
        <v>51900</v>
      </c>
      <c r="L242" s="696">
        <v>62900</v>
      </c>
      <c r="M242" s="696">
        <v>83050</v>
      </c>
      <c r="N242" s="814">
        <v>41600</v>
      </c>
      <c r="O242" s="696">
        <v>54950</v>
      </c>
      <c r="P242" s="696">
        <v>66550</v>
      </c>
      <c r="Q242" s="696">
        <v>87850</v>
      </c>
      <c r="R242" s="814">
        <v>41600</v>
      </c>
      <c r="S242" s="696">
        <v>54950</v>
      </c>
      <c r="T242" s="696">
        <v>66550</v>
      </c>
      <c r="U242" s="696">
        <v>87850</v>
      </c>
      <c r="V242" s="843">
        <v>45150</v>
      </c>
      <c r="W242" s="844">
        <v>59600</v>
      </c>
      <c r="X242" s="844">
        <v>72250</v>
      </c>
      <c r="Y242" s="844">
        <v>95400</v>
      </c>
    </row>
    <row r="243" spans="5:25" ht="15" x14ac:dyDescent="0.25">
      <c r="E243" s="697" t="s">
        <v>444</v>
      </c>
      <c r="F243" s="696">
        <v>35800</v>
      </c>
      <c r="G243" s="696">
        <v>47300</v>
      </c>
      <c r="H243" s="696">
        <v>57300</v>
      </c>
      <c r="I243" s="696">
        <v>75650</v>
      </c>
      <c r="J243" s="814">
        <v>39300</v>
      </c>
      <c r="K243" s="696">
        <v>51900</v>
      </c>
      <c r="L243" s="696">
        <v>62900</v>
      </c>
      <c r="M243" s="696">
        <v>83050</v>
      </c>
      <c r="N243" s="814">
        <v>41600</v>
      </c>
      <c r="O243" s="696">
        <v>54950</v>
      </c>
      <c r="P243" s="696">
        <v>66550</v>
      </c>
      <c r="Q243" s="696">
        <v>87850</v>
      </c>
      <c r="R243" s="814">
        <v>41600</v>
      </c>
      <c r="S243" s="696">
        <v>54950</v>
      </c>
      <c r="T243" s="696">
        <v>66550</v>
      </c>
      <c r="U243" s="696">
        <v>87850</v>
      </c>
      <c r="V243" s="843">
        <v>45150</v>
      </c>
      <c r="W243" s="844">
        <v>59600</v>
      </c>
      <c r="X243" s="844">
        <v>72250</v>
      </c>
      <c r="Y243" s="844">
        <v>95400</v>
      </c>
    </row>
    <row r="244" spans="5:25" ht="15" x14ac:dyDescent="0.25">
      <c r="E244" s="697" t="s">
        <v>445</v>
      </c>
      <c r="F244" s="696">
        <v>35800</v>
      </c>
      <c r="G244" s="696">
        <v>47300</v>
      </c>
      <c r="H244" s="696">
        <v>57300</v>
      </c>
      <c r="I244" s="696">
        <v>75650</v>
      </c>
      <c r="J244" s="814">
        <v>39300</v>
      </c>
      <c r="K244" s="696">
        <v>51900</v>
      </c>
      <c r="L244" s="696">
        <v>62900</v>
      </c>
      <c r="M244" s="696">
        <v>83050</v>
      </c>
      <c r="N244" s="814">
        <v>41600</v>
      </c>
      <c r="O244" s="696">
        <v>54950</v>
      </c>
      <c r="P244" s="696">
        <v>66550</v>
      </c>
      <c r="Q244" s="696">
        <v>87850</v>
      </c>
      <c r="R244" s="814">
        <v>41600</v>
      </c>
      <c r="S244" s="696">
        <v>54950</v>
      </c>
      <c r="T244" s="696">
        <v>66550</v>
      </c>
      <c r="U244" s="696">
        <v>87850</v>
      </c>
      <c r="V244" s="843">
        <v>45150</v>
      </c>
      <c r="W244" s="844">
        <v>59600</v>
      </c>
      <c r="X244" s="844">
        <v>72250</v>
      </c>
      <c r="Y244" s="844">
        <v>95400</v>
      </c>
    </row>
    <row r="245" spans="5:25" ht="15" x14ac:dyDescent="0.25">
      <c r="E245" s="697" t="s">
        <v>446</v>
      </c>
      <c r="F245" s="696">
        <v>41250</v>
      </c>
      <c r="G245" s="696">
        <v>54450</v>
      </c>
      <c r="H245" s="696">
        <v>66000</v>
      </c>
      <c r="I245" s="696">
        <v>87100</v>
      </c>
      <c r="J245" s="814">
        <v>45300</v>
      </c>
      <c r="K245" s="696">
        <v>59800</v>
      </c>
      <c r="L245" s="696">
        <v>72500</v>
      </c>
      <c r="M245" s="696">
        <v>95700</v>
      </c>
      <c r="N245" s="814">
        <v>47950</v>
      </c>
      <c r="O245" s="696">
        <v>63300</v>
      </c>
      <c r="P245" s="696">
        <v>76700</v>
      </c>
      <c r="Q245" s="696">
        <v>101250</v>
      </c>
      <c r="R245" s="814">
        <v>51050</v>
      </c>
      <c r="S245" s="696">
        <v>67400</v>
      </c>
      <c r="T245" s="696">
        <v>81700</v>
      </c>
      <c r="U245" s="696">
        <v>107850</v>
      </c>
      <c r="V245" s="843">
        <v>53750</v>
      </c>
      <c r="W245" s="844">
        <v>70950</v>
      </c>
      <c r="X245" s="844">
        <v>86000</v>
      </c>
      <c r="Y245" s="844">
        <v>113550</v>
      </c>
    </row>
    <row r="246" spans="5:25" ht="15" x14ac:dyDescent="0.25">
      <c r="E246" s="697" t="s">
        <v>447</v>
      </c>
      <c r="F246" s="696">
        <v>37750</v>
      </c>
      <c r="G246" s="696">
        <v>49850</v>
      </c>
      <c r="H246" s="696">
        <v>60400</v>
      </c>
      <c r="I246" s="696">
        <v>79750</v>
      </c>
      <c r="J246" s="814">
        <v>41650</v>
      </c>
      <c r="K246" s="696">
        <v>55000</v>
      </c>
      <c r="L246" s="696">
        <v>66650</v>
      </c>
      <c r="M246" s="696">
        <v>88000</v>
      </c>
      <c r="N246" s="814">
        <v>44100</v>
      </c>
      <c r="O246" s="696">
        <v>58250</v>
      </c>
      <c r="P246" s="696">
        <v>70550</v>
      </c>
      <c r="Q246" s="696">
        <v>93150</v>
      </c>
      <c r="R246" s="814">
        <v>44100</v>
      </c>
      <c r="S246" s="696">
        <v>58250</v>
      </c>
      <c r="T246" s="696">
        <v>70550</v>
      </c>
      <c r="U246" s="696">
        <v>93150</v>
      </c>
      <c r="V246" s="843">
        <v>46500</v>
      </c>
      <c r="W246" s="844">
        <v>61400</v>
      </c>
      <c r="X246" s="844">
        <v>74400</v>
      </c>
      <c r="Y246" s="844">
        <v>98250</v>
      </c>
    </row>
    <row r="247" spans="5:25" ht="15" x14ac:dyDescent="0.25">
      <c r="E247" s="697" t="s">
        <v>448</v>
      </c>
      <c r="F247" s="696">
        <v>36200</v>
      </c>
      <c r="G247" s="696">
        <v>47800</v>
      </c>
      <c r="H247" s="696">
        <v>57900</v>
      </c>
      <c r="I247" s="696">
        <v>76450</v>
      </c>
      <c r="J247" s="814">
        <v>40450</v>
      </c>
      <c r="K247" s="696">
        <v>53400</v>
      </c>
      <c r="L247" s="696">
        <v>64700</v>
      </c>
      <c r="M247" s="696">
        <v>85400</v>
      </c>
      <c r="N247" s="814">
        <v>42800</v>
      </c>
      <c r="O247" s="696">
        <v>56500</v>
      </c>
      <c r="P247" s="696">
        <v>68500</v>
      </c>
      <c r="Q247" s="696">
        <v>90400</v>
      </c>
      <c r="R247" s="814">
        <v>42800</v>
      </c>
      <c r="S247" s="696">
        <v>56500</v>
      </c>
      <c r="T247" s="696">
        <v>68500</v>
      </c>
      <c r="U247" s="696">
        <v>90450</v>
      </c>
      <c r="V247" s="843">
        <v>45150</v>
      </c>
      <c r="W247" s="844">
        <v>59600</v>
      </c>
      <c r="X247" s="844">
        <v>72250</v>
      </c>
      <c r="Y247" s="844">
        <v>95400</v>
      </c>
    </row>
    <row r="248" spans="5:25" ht="15" x14ac:dyDescent="0.25">
      <c r="E248" s="697" t="s">
        <v>449</v>
      </c>
      <c r="F248" s="696">
        <v>35800</v>
      </c>
      <c r="G248" s="696">
        <v>47300</v>
      </c>
      <c r="H248" s="696">
        <v>57300</v>
      </c>
      <c r="I248" s="696">
        <v>75650</v>
      </c>
      <c r="J248" s="814">
        <v>39750</v>
      </c>
      <c r="K248" s="696">
        <v>52500</v>
      </c>
      <c r="L248" s="696">
        <v>63600</v>
      </c>
      <c r="M248" s="696">
        <v>83950</v>
      </c>
      <c r="N248" s="814">
        <v>42100</v>
      </c>
      <c r="O248" s="696">
        <v>55600</v>
      </c>
      <c r="P248" s="696">
        <v>67350</v>
      </c>
      <c r="Q248" s="696">
        <v>88900</v>
      </c>
      <c r="R248" s="814">
        <v>42100</v>
      </c>
      <c r="S248" s="696">
        <v>55600</v>
      </c>
      <c r="T248" s="696">
        <v>67350</v>
      </c>
      <c r="U248" s="696">
        <v>88950</v>
      </c>
      <c r="V248" s="843">
        <v>45150</v>
      </c>
      <c r="W248" s="844">
        <v>59600</v>
      </c>
      <c r="X248" s="844">
        <v>72250</v>
      </c>
      <c r="Y248" s="844">
        <v>95400</v>
      </c>
    </row>
    <row r="249" spans="5:25" ht="15" x14ac:dyDescent="0.25">
      <c r="E249" s="697" t="s">
        <v>450</v>
      </c>
      <c r="F249" s="696">
        <v>37350</v>
      </c>
      <c r="G249" s="696">
        <v>49350</v>
      </c>
      <c r="H249" s="696">
        <v>59750</v>
      </c>
      <c r="I249" s="696">
        <v>78850</v>
      </c>
      <c r="J249" s="814">
        <v>40450</v>
      </c>
      <c r="K249" s="696">
        <v>53400</v>
      </c>
      <c r="L249" s="696">
        <v>64700</v>
      </c>
      <c r="M249" s="696">
        <v>85400</v>
      </c>
      <c r="N249" s="814">
        <v>42800</v>
      </c>
      <c r="O249" s="696">
        <v>56500</v>
      </c>
      <c r="P249" s="696">
        <v>68500</v>
      </c>
      <c r="Q249" s="696">
        <v>90400</v>
      </c>
      <c r="R249" s="814">
        <v>42800</v>
      </c>
      <c r="S249" s="696">
        <v>56500</v>
      </c>
      <c r="T249" s="696">
        <v>68500</v>
      </c>
      <c r="U249" s="696">
        <v>90450</v>
      </c>
      <c r="V249" s="843">
        <v>45150</v>
      </c>
      <c r="W249" s="844">
        <v>59600</v>
      </c>
      <c r="X249" s="844">
        <v>72250</v>
      </c>
      <c r="Y249" s="844">
        <v>95400</v>
      </c>
    </row>
    <row r="250" spans="5:25" ht="15" x14ac:dyDescent="0.25">
      <c r="E250" s="697" t="s">
        <v>451</v>
      </c>
      <c r="F250" s="696">
        <v>35900</v>
      </c>
      <c r="G250" s="696">
        <v>47400</v>
      </c>
      <c r="H250" s="696">
        <v>57450</v>
      </c>
      <c r="I250" s="696">
        <v>75850</v>
      </c>
      <c r="J250" s="814">
        <v>40150</v>
      </c>
      <c r="K250" s="696">
        <v>53000</v>
      </c>
      <c r="L250" s="696">
        <v>64250</v>
      </c>
      <c r="M250" s="696">
        <v>84800</v>
      </c>
      <c r="N250" s="814">
        <v>42500</v>
      </c>
      <c r="O250" s="696">
        <v>56100</v>
      </c>
      <c r="P250" s="696">
        <v>68000</v>
      </c>
      <c r="Q250" s="696">
        <v>89750</v>
      </c>
      <c r="R250" s="814">
        <v>44450</v>
      </c>
      <c r="S250" s="696">
        <v>58700</v>
      </c>
      <c r="T250" s="696">
        <v>71100</v>
      </c>
      <c r="U250" s="696">
        <v>93900</v>
      </c>
      <c r="V250" s="843">
        <v>46500</v>
      </c>
      <c r="W250" s="844">
        <v>61400</v>
      </c>
      <c r="X250" s="844">
        <v>74400</v>
      </c>
      <c r="Y250" s="844">
        <v>98250</v>
      </c>
    </row>
    <row r="251" spans="5:25" ht="15" x14ac:dyDescent="0.25">
      <c r="E251" s="697" t="s">
        <v>452</v>
      </c>
      <c r="F251" s="696">
        <v>37300</v>
      </c>
      <c r="G251" s="696">
        <v>49250</v>
      </c>
      <c r="H251" s="696">
        <v>59700</v>
      </c>
      <c r="I251" s="696">
        <v>78800</v>
      </c>
      <c r="J251" s="814">
        <v>40450</v>
      </c>
      <c r="K251" s="696">
        <v>53400</v>
      </c>
      <c r="L251" s="696">
        <v>64700</v>
      </c>
      <c r="M251" s="696">
        <v>85400</v>
      </c>
      <c r="N251" s="814">
        <v>42800</v>
      </c>
      <c r="O251" s="696">
        <v>56500</v>
      </c>
      <c r="P251" s="696">
        <v>68500</v>
      </c>
      <c r="Q251" s="696">
        <v>90400</v>
      </c>
      <c r="R251" s="814">
        <v>43850</v>
      </c>
      <c r="S251" s="696">
        <v>57900</v>
      </c>
      <c r="T251" s="696">
        <v>70150</v>
      </c>
      <c r="U251" s="696">
        <v>92600</v>
      </c>
      <c r="V251" s="843">
        <v>46500</v>
      </c>
      <c r="W251" s="844">
        <v>61400</v>
      </c>
      <c r="X251" s="844">
        <v>74400</v>
      </c>
      <c r="Y251" s="844">
        <v>98250</v>
      </c>
    </row>
    <row r="252" spans="5:25" ht="15" x14ac:dyDescent="0.25">
      <c r="E252" s="697" t="s">
        <v>453</v>
      </c>
      <c r="F252" s="696">
        <v>35800</v>
      </c>
      <c r="G252" s="696">
        <v>47300</v>
      </c>
      <c r="H252" s="696">
        <v>57300</v>
      </c>
      <c r="I252" s="696">
        <v>75650</v>
      </c>
      <c r="J252" s="814">
        <v>39300</v>
      </c>
      <c r="K252" s="696">
        <v>51900</v>
      </c>
      <c r="L252" s="696">
        <v>62900</v>
      </c>
      <c r="M252" s="696">
        <v>83050</v>
      </c>
      <c r="N252" s="814">
        <v>41600</v>
      </c>
      <c r="O252" s="696">
        <v>54950</v>
      </c>
      <c r="P252" s="696">
        <v>66550</v>
      </c>
      <c r="Q252" s="696">
        <v>87850</v>
      </c>
      <c r="R252" s="814">
        <v>41750</v>
      </c>
      <c r="S252" s="696">
        <v>55150</v>
      </c>
      <c r="T252" s="696">
        <v>66800</v>
      </c>
      <c r="U252" s="696">
        <v>88200</v>
      </c>
      <c r="V252" s="843">
        <v>45600</v>
      </c>
      <c r="W252" s="844">
        <v>60200</v>
      </c>
      <c r="X252" s="844">
        <v>72950</v>
      </c>
      <c r="Y252" s="844">
        <v>96300</v>
      </c>
    </row>
    <row r="253" spans="5:25" ht="15" x14ac:dyDescent="0.25">
      <c r="E253" s="697" t="s">
        <v>454</v>
      </c>
      <c r="F253" s="696">
        <v>35800</v>
      </c>
      <c r="G253" s="696">
        <v>47300</v>
      </c>
      <c r="H253" s="696">
        <v>57300</v>
      </c>
      <c r="I253" s="696">
        <v>75650</v>
      </c>
      <c r="J253" s="814">
        <v>39300</v>
      </c>
      <c r="K253" s="696">
        <v>51900</v>
      </c>
      <c r="L253" s="696">
        <v>62900</v>
      </c>
      <c r="M253" s="696">
        <v>83050</v>
      </c>
      <c r="N253" s="814">
        <v>41600</v>
      </c>
      <c r="O253" s="696">
        <v>54950</v>
      </c>
      <c r="P253" s="696">
        <v>66550</v>
      </c>
      <c r="Q253" s="696">
        <v>87850</v>
      </c>
      <c r="R253" s="814">
        <v>42900</v>
      </c>
      <c r="S253" s="696">
        <v>56650</v>
      </c>
      <c r="T253" s="696">
        <v>68650</v>
      </c>
      <c r="U253" s="696">
        <v>90650</v>
      </c>
      <c r="V253" s="843">
        <v>46500</v>
      </c>
      <c r="W253" s="844">
        <v>61400</v>
      </c>
      <c r="X253" s="844">
        <v>74400</v>
      </c>
      <c r="Y253" s="844">
        <v>98250</v>
      </c>
    </row>
    <row r="254" spans="5:25" ht="15" x14ac:dyDescent="0.25">
      <c r="E254" s="697" t="s">
        <v>455</v>
      </c>
      <c r="F254" s="696">
        <v>39600</v>
      </c>
      <c r="G254" s="696">
        <v>52300</v>
      </c>
      <c r="H254" s="696">
        <v>63350</v>
      </c>
      <c r="I254" s="696">
        <v>83600</v>
      </c>
      <c r="J254" s="814">
        <v>40050</v>
      </c>
      <c r="K254" s="696">
        <v>52900</v>
      </c>
      <c r="L254" s="696">
        <v>64100</v>
      </c>
      <c r="M254" s="696">
        <v>84600</v>
      </c>
      <c r="N254" s="814">
        <v>42400</v>
      </c>
      <c r="O254" s="696">
        <v>56000</v>
      </c>
      <c r="P254" s="696">
        <v>67850</v>
      </c>
      <c r="Q254" s="696">
        <v>89550</v>
      </c>
      <c r="R254" s="814">
        <v>46600</v>
      </c>
      <c r="S254" s="696">
        <v>61550</v>
      </c>
      <c r="T254" s="696">
        <v>74550</v>
      </c>
      <c r="U254" s="696">
        <v>98450</v>
      </c>
      <c r="V254" s="843">
        <v>46600</v>
      </c>
      <c r="W254" s="844">
        <v>61550</v>
      </c>
      <c r="X254" s="844">
        <v>74550</v>
      </c>
      <c r="Y254" s="844">
        <v>98450</v>
      </c>
    </row>
    <row r="255" spans="5:25" ht="15" x14ac:dyDescent="0.25">
      <c r="E255" s="697" t="s">
        <v>456</v>
      </c>
      <c r="F255" s="696">
        <v>35800</v>
      </c>
      <c r="G255" s="696">
        <v>47300</v>
      </c>
      <c r="H255" s="696">
        <v>57300</v>
      </c>
      <c r="I255" s="696">
        <v>75650</v>
      </c>
      <c r="J255" s="814">
        <v>39300</v>
      </c>
      <c r="K255" s="696">
        <v>51900</v>
      </c>
      <c r="L255" s="696">
        <v>62900</v>
      </c>
      <c r="M255" s="696">
        <v>83050</v>
      </c>
      <c r="N255" s="814">
        <v>41600</v>
      </c>
      <c r="O255" s="696">
        <v>54950</v>
      </c>
      <c r="P255" s="696">
        <v>66550</v>
      </c>
      <c r="Q255" s="696">
        <v>87850</v>
      </c>
      <c r="R255" s="814">
        <v>41600</v>
      </c>
      <c r="S255" s="696">
        <v>54950</v>
      </c>
      <c r="T255" s="696">
        <v>66550</v>
      </c>
      <c r="U255" s="696">
        <v>87850</v>
      </c>
      <c r="V255" s="843">
        <v>45150</v>
      </c>
      <c r="W255" s="844">
        <v>59600</v>
      </c>
      <c r="X255" s="844">
        <v>72250</v>
      </c>
      <c r="Y255" s="844">
        <v>95400</v>
      </c>
    </row>
    <row r="256" spans="5:25" ht="15" x14ac:dyDescent="0.25">
      <c r="E256" s="697" t="s">
        <v>457</v>
      </c>
      <c r="F256" s="696">
        <v>37600</v>
      </c>
      <c r="G256" s="696">
        <v>49650</v>
      </c>
      <c r="H256" s="696">
        <v>60150</v>
      </c>
      <c r="I256" s="696">
        <v>79400</v>
      </c>
      <c r="J256" s="814">
        <v>42050</v>
      </c>
      <c r="K256" s="696">
        <v>55550</v>
      </c>
      <c r="L256" s="696">
        <v>67300</v>
      </c>
      <c r="M256" s="696">
        <v>88850</v>
      </c>
      <c r="N256" s="814">
        <v>44500</v>
      </c>
      <c r="O256" s="696">
        <v>58750</v>
      </c>
      <c r="P256" s="696">
        <v>71200</v>
      </c>
      <c r="Q256" s="696">
        <v>94000</v>
      </c>
      <c r="R256" s="814">
        <v>48950</v>
      </c>
      <c r="S256" s="696">
        <v>64600</v>
      </c>
      <c r="T256" s="696">
        <v>78300</v>
      </c>
      <c r="U256" s="696">
        <v>103400</v>
      </c>
      <c r="V256" s="843">
        <v>53450</v>
      </c>
      <c r="W256" s="844">
        <v>70550</v>
      </c>
      <c r="X256" s="844">
        <v>85500</v>
      </c>
      <c r="Y256" s="844">
        <v>112900</v>
      </c>
    </row>
    <row r="257" spans="5:25" ht="15" x14ac:dyDescent="0.25">
      <c r="E257" s="697" t="s">
        <v>458</v>
      </c>
      <c r="F257" s="696">
        <v>35800</v>
      </c>
      <c r="G257" s="696">
        <v>47300</v>
      </c>
      <c r="H257" s="696">
        <v>57300</v>
      </c>
      <c r="I257" s="696">
        <v>75650</v>
      </c>
      <c r="J257" s="814">
        <v>39300</v>
      </c>
      <c r="K257" s="696">
        <v>51900</v>
      </c>
      <c r="L257" s="696">
        <v>62900</v>
      </c>
      <c r="M257" s="696">
        <v>83050</v>
      </c>
      <c r="N257" s="814">
        <v>41600</v>
      </c>
      <c r="O257" s="696">
        <v>54950</v>
      </c>
      <c r="P257" s="696">
        <v>66550</v>
      </c>
      <c r="Q257" s="696">
        <v>87850</v>
      </c>
      <c r="R257" s="814">
        <v>41600</v>
      </c>
      <c r="S257" s="696">
        <v>54950</v>
      </c>
      <c r="T257" s="696">
        <v>66550</v>
      </c>
      <c r="U257" s="696">
        <v>87850</v>
      </c>
      <c r="V257" s="843">
        <v>45150</v>
      </c>
      <c r="W257" s="844">
        <v>59600</v>
      </c>
      <c r="X257" s="844">
        <v>72250</v>
      </c>
      <c r="Y257" s="844">
        <v>95400</v>
      </c>
    </row>
    <row r="258" spans="5:25" ht="15" x14ac:dyDescent="0.25">
      <c r="E258" s="697" t="s">
        <v>459</v>
      </c>
      <c r="F258" s="696">
        <v>38750</v>
      </c>
      <c r="G258" s="696">
        <v>51150</v>
      </c>
      <c r="H258" s="696">
        <v>62000</v>
      </c>
      <c r="I258" s="696">
        <v>81850</v>
      </c>
      <c r="J258" s="814">
        <v>43350</v>
      </c>
      <c r="K258" s="696">
        <v>57250</v>
      </c>
      <c r="L258" s="696">
        <v>69350</v>
      </c>
      <c r="M258" s="696">
        <v>91550</v>
      </c>
      <c r="N258" s="814">
        <v>44200</v>
      </c>
      <c r="O258" s="696">
        <v>58350</v>
      </c>
      <c r="P258" s="696">
        <v>70700</v>
      </c>
      <c r="Q258" s="696">
        <v>93300</v>
      </c>
      <c r="R258" s="814">
        <v>44200</v>
      </c>
      <c r="S258" s="696">
        <v>58350</v>
      </c>
      <c r="T258" s="696">
        <v>70700</v>
      </c>
      <c r="U258" s="696">
        <v>93350</v>
      </c>
      <c r="V258" s="843">
        <v>46500</v>
      </c>
      <c r="W258" s="844">
        <v>61400</v>
      </c>
      <c r="X258" s="844">
        <v>74400</v>
      </c>
      <c r="Y258" s="844">
        <v>98250</v>
      </c>
    </row>
    <row r="259" spans="5:25" ht="15" x14ac:dyDescent="0.25">
      <c r="E259" s="697" t="s">
        <v>460</v>
      </c>
      <c r="F259" s="696">
        <v>38650</v>
      </c>
      <c r="G259" s="696">
        <v>51050</v>
      </c>
      <c r="H259" s="696">
        <v>61850</v>
      </c>
      <c r="I259" s="696">
        <v>81650</v>
      </c>
      <c r="J259" s="814">
        <v>42650</v>
      </c>
      <c r="K259" s="696">
        <v>56300</v>
      </c>
      <c r="L259" s="696">
        <v>68250</v>
      </c>
      <c r="M259" s="696">
        <v>90100</v>
      </c>
      <c r="N259" s="814">
        <v>44800</v>
      </c>
      <c r="O259" s="696">
        <v>59150</v>
      </c>
      <c r="P259" s="696">
        <v>71700</v>
      </c>
      <c r="Q259" s="696">
        <v>94650</v>
      </c>
      <c r="R259" s="814">
        <v>48350</v>
      </c>
      <c r="S259" s="696">
        <v>63850</v>
      </c>
      <c r="T259" s="696">
        <v>77350</v>
      </c>
      <c r="U259" s="696">
        <v>102150</v>
      </c>
      <c r="V259" s="843">
        <v>49250</v>
      </c>
      <c r="W259" s="844">
        <v>65050</v>
      </c>
      <c r="X259" s="844">
        <v>78800</v>
      </c>
      <c r="Y259" s="844">
        <v>104050</v>
      </c>
    </row>
    <row r="260" spans="5:25" ht="15" x14ac:dyDescent="0.25">
      <c r="E260" s="697" t="s">
        <v>461</v>
      </c>
      <c r="F260" s="696">
        <v>37100</v>
      </c>
      <c r="G260" s="696">
        <v>49000</v>
      </c>
      <c r="H260" s="696">
        <v>59350</v>
      </c>
      <c r="I260" s="696">
        <v>78350</v>
      </c>
      <c r="J260" s="814">
        <v>41500</v>
      </c>
      <c r="K260" s="696">
        <v>54800</v>
      </c>
      <c r="L260" s="696">
        <v>66400</v>
      </c>
      <c r="M260" s="696">
        <v>87650</v>
      </c>
      <c r="N260" s="814">
        <v>43950</v>
      </c>
      <c r="O260" s="696">
        <v>58050</v>
      </c>
      <c r="P260" s="696">
        <v>70300</v>
      </c>
      <c r="Q260" s="696">
        <v>92800</v>
      </c>
      <c r="R260" s="814">
        <v>43950</v>
      </c>
      <c r="S260" s="696">
        <v>58050</v>
      </c>
      <c r="T260" s="696">
        <v>70300</v>
      </c>
      <c r="U260" s="696">
        <v>92800</v>
      </c>
      <c r="V260" s="843">
        <v>45750</v>
      </c>
      <c r="W260" s="844">
        <v>60400</v>
      </c>
      <c r="X260" s="844">
        <v>73200</v>
      </c>
      <c r="Y260" s="844">
        <v>96650</v>
      </c>
    </row>
    <row r="261" spans="5:25" ht="15" x14ac:dyDescent="0.25">
      <c r="E261" s="697" t="s">
        <v>462</v>
      </c>
      <c r="F261" s="696">
        <v>40950</v>
      </c>
      <c r="G261" s="696">
        <v>54100</v>
      </c>
      <c r="H261" s="696">
        <v>65500</v>
      </c>
      <c r="I261" s="696">
        <v>86450</v>
      </c>
      <c r="J261" s="814">
        <v>43350</v>
      </c>
      <c r="K261" s="696">
        <v>57250</v>
      </c>
      <c r="L261" s="696">
        <v>69350</v>
      </c>
      <c r="M261" s="696">
        <v>91550</v>
      </c>
      <c r="N261" s="814">
        <v>44700</v>
      </c>
      <c r="O261" s="696">
        <v>59050</v>
      </c>
      <c r="P261" s="696">
        <v>71500</v>
      </c>
      <c r="Q261" s="696">
        <v>94400</v>
      </c>
      <c r="R261" s="814">
        <v>48250</v>
      </c>
      <c r="S261" s="696">
        <v>63700</v>
      </c>
      <c r="T261" s="696">
        <v>77200</v>
      </c>
      <c r="U261" s="696">
        <v>101950</v>
      </c>
      <c r="V261" s="843">
        <v>50050</v>
      </c>
      <c r="W261" s="844">
        <v>66100</v>
      </c>
      <c r="X261" s="844">
        <v>80100</v>
      </c>
      <c r="Y261" s="844">
        <v>105750</v>
      </c>
    </row>
    <row r="262" spans="5:25" ht="15" x14ac:dyDescent="0.25">
      <c r="E262" s="697" t="s">
        <v>463</v>
      </c>
      <c r="F262" s="696">
        <v>40800</v>
      </c>
      <c r="G262" s="696">
        <v>53900</v>
      </c>
      <c r="H262" s="696">
        <v>65300</v>
      </c>
      <c r="I262" s="696">
        <v>86200</v>
      </c>
      <c r="J262" s="814">
        <v>43100</v>
      </c>
      <c r="K262" s="696">
        <v>56900</v>
      </c>
      <c r="L262" s="696">
        <v>68950</v>
      </c>
      <c r="M262" s="696">
        <v>91000</v>
      </c>
      <c r="N262" s="814">
        <v>45150</v>
      </c>
      <c r="O262" s="696">
        <v>59600</v>
      </c>
      <c r="P262" s="696">
        <v>72250</v>
      </c>
      <c r="Q262" s="696">
        <v>95350</v>
      </c>
      <c r="R262" s="814">
        <v>45150</v>
      </c>
      <c r="S262" s="696">
        <v>59600</v>
      </c>
      <c r="T262" s="696">
        <v>72250</v>
      </c>
      <c r="U262" s="696">
        <v>95400</v>
      </c>
      <c r="V262" s="843">
        <v>49300</v>
      </c>
      <c r="W262" s="844">
        <v>65100</v>
      </c>
      <c r="X262" s="844">
        <v>78900</v>
      </c>
      <c r="Y262" s="844">
        <v>104150</v>
      </c>
    </row>
    <row r="263" spans="5:25" ht="15" x14ac:dyDescent="0.25">
      <c r="E263" s="697" t="s">
        <v>464</v>
      </c>
      <c r="F263" s="696">
        <v>35800</v>
      </c>
      <c r="G263" s="696">
        <v>47300</v>
      </c>
      <c r="H263" s="696">
        <v>57300</v>
      </c>
      <c r="I263" s="696">
        <v>75650</v>
      </c>
      <c r="J263" s="814">
        <v>39300</v>
      </c>
      <c r="K263" s="696">
        <v>51900</v>
      </c>
      <c r="L263" s="696">
        <v>62900</v>
      </c>
      <c r="M263" s="696">
        <v>83050</v>
      </c>
      <c r="N263" s="814">
        <v>41600</v>
      </c>
      <c r="O263" s="696">
        <v>54950</v>
      </c>
      <c r="P263" s="696">
        <v>66550</v>
      </c>
      <c r="Q263" s="696">
        <v>87850</v>
      </c>
      <c r="R263" s="814">
        <v>43950</v>
      </c>
      <c r="S263" s="696">
        <v>58050</v>
      </c>
      <c r="T263" s="696">
        <v>70300</v>
      </c>
      <c r="U263" s="696">
        <v>92800</v>
      </c>
      <c r="V263" s="843">
        <v>48000</v>
      </c>
      <c r="W263" s="844">
        <v>63400</v>
      </c>
      <c r="X263" s="844">
        <v>76750</v>
      </c>
      <c r="Y263" s="844">
        <v>101350</v>
      </c>
    </row>
    <row r="264" spans="5:25" ht="15" x14ac:dyDescent="0.25">
      <c r="E264" s="697" t="s">
        <v>465</v>
      </c>
      <c r="F264" s="696">
        <v>35800</v>
      </c>
      <c r="G264" s="696">
        <v>47300</v>
      </c>
      <c r="H264" s="696">
        <v>57300</v>
      </c>
      <c r="I264" s="696">
        <v>75650</v>
      </c>
      <c r="J264" s="814">
        <v>39300</v>
      </c>
      <c r="K264" s="696">
        <v>51900</v>
      </c>
      <c r="L264" s="696">
        <v>62900</v>
      </c>
      <c r="M264" s="696">
        <v>83050</v>
      </c>
      <c r="N264" s="814">
        <v>41600</v>
      </c>
      <c r="O264" s="696">
        <v>54950</v>
      </c>
      <c r="P264" s="696">
        <v>66550</v>
      </c>
      <c r="Q264" s="696">
        <v>87850</v>
      </c>
      <c r="R264" s="814">
        <v>41600</v>
      </c>
      <c r="S264" s="696">
        <v>54950</v>
      </c>
      <c r="T264" s="696">
        <v>66550</v>
      </c>
      <c r="U264" s="696">
        <v>87850</v>
      </c>
      <c r="V264" s="843">
        <v>45150</v>
      </c>
      <c r="W264" s="844">
        <v>59600</v>
      </c>
      <c r="X264" s="844">
        <v>72250</v>
      </c>
      <c r="Y264" s="844">
        <v>95400</v>
      </c>
    </row>
    <row r="265" spans="5:25" ht="15" x14ac:dyDescent="0.25">
      <c r="E265" s="697" t="s">
        <v>466</v>
      </c>
      <c r="F265" s="696">
        <v>35800</v>
      </c>
      <c r="G265" s="696">
        <v>47300</v>
      </c>
      <c r="H265" s="696">
        <v>57300</v>
      </c>
      <c r="I265" s="696">
        <v>75650</v>
      </c>
      <c r="J265" s="814">
        <v>39300</v>
      </c>
      <c r="K265" s="696">
        <v>51900</v>
      </c>
      <c r="L265" s="696">
        <v>62900</v>
      </c>
      <c r="M265" s="696">
        <v>83050</v>
      </c>
      <c r="N265" s="814">
        <v>41600</v>
      </c>
      <c r="O265" s="696">
        <v>54950</v>
      </c>
      <c r="P265" s="696">
        <v>66550</v>
      </c>
      <c r="Q265" s="696">
        <v>87850</v>
      </c>
      <c r="R265" s="814">
        <v>41600</v>
      </c>
      <c r="S265" s="696">
        <v>54950</v>
      </c>
      <c r="T265" s="696">
        <v>66550</v>
      </c>
      <c r="U265" s="696">
        <v>87850</v>
      </c>
      <c r="V265" s="843">
        <v>45150</v>
      </c>
      <c r="W265" s="844">
        <v>59600</v>
      </c>
      <c r="X265" s="844">
        <v>72250</v>
      </c>
      <c r="Y265" s="844">
        <v>95400</v>
      </c>
    </row>
    <row r="266" spans="5:25" ht="15" x14ac:dyDescent="0.25">
      <c r="E266" s="697" t="s">
        <v>467</v>
      </c>
      <c r="F266" s="696">
        <v>35800</v>
      </c>
      <c r="G266" s="696">
        <v>47300</v>
      </c>
      <c r="H266" s="696">
        <v>57300</v>
      </c>
      <c r="I266" s="696">
        <v>75650</v>
      </c>
      <c r="J266" s="814">
        <v>39300</v>
      </c>
      <c r="K266" s="696">
        <v>51900</v>
      </c>
      <c r="L266" s="696">
        <v>62900</v>
      </c>
      <c r="M266" s="696">
        <v>83050</v>
      </c>
      <c r="N266" s="814">
        <v>41600</v>
      </c>
      <c r="O266" s="696">
        <v>54950</v>
      </c>
      <c r="P266" s="696">
        <v>66550</v>
      </c>
      <c r="Q266" s="696">
        <v>87850</v>
      </c>
      <c r="R266" s="814">
        <v>44100</v>
      </c>
      <c r="S266" s="696">
        <v>58250</v>
      </c>
      <c r="T266" s="696">
        <v>70550</v>
      </c>
      <c r="U266" s="696">
        <v>93150</v>
      </c>
      <c r="V266" s="843">
        <v>48050</v>
      </c>
      <c r="W266" s="844">
        <v>63450</v>
      </c>
      <c r="X266" s="844">
        <v>76900</v>
      </c>
      <c r="Y266" s="844">
        <v>101550</v>
      </c>
    </row>
    <row r="267" spans="5:25" ht="15" x14ac:dyDescent="0.25">
      <c r="E267" s="697" t="s">
        <v>468</v>
      </c>
      <c r="F267" s="696">
        <v>43900</v>
      </c>
      <c r="G267" s="696">
        <v>57950</v>
      </c>
      <c r="H267" s="696">
        <v>70250</v>
      </c>
      <c r="I267" s="696">
        <v>92750</v>
      </c>
      <c r="J267" s="814">
        <v>47550</v>
      </c>
      <c r="K267" s="696">
        <v>62800</v>
      </c>
      <c r="L267" s="696">
        <v>76100</v>
      </c>
      <c r="M267" s="696">
        <v>100450</v>
      </c>
      <c r="N267" s="814">
        <v>50350</v>
      </c>
      <c r="O267" s="696">
        <v>66500</v>
      </c>
      <c r="P267" s="696">
        <v>80550</v>
      </c>
      <c r="Q267" s="696">
        <v>106350</v>
      </c>
      <c r="R267" s="814">
        <v>54750</v>
      </c>
      <c r="S267" s="696">
        <v>72300</v>
      </c>
      <c r="T267" s="696">
        <v>87600</v>
      </c>
      <c r="U267" s="696">
        <v>115650</v>
      </c>
      <c r="V267" s="843">
        <v>56850</v>
      </c>
      <c r="W267" s="844">
        <v>75050</v>
      </c>
      <c r="X267" s="844">
        <v>90950</v>
      </c>
      <c r="Y267" s="844">
        <v>120100</v>
      </c>
    </row>
    <row r="268" spans="5:25" ht="15" x14ac:dyDescent="0.25">
      <c r="E268" s="697" t="s">
        <v>469</v>
      </c>
      <c r="F268" s="696">
        <v>41850</v>
      </c>
      <c r="G268" s="696">
        <v>55250</v>
      </c>
      <c r="H268" s="696">
        <v>66950</v>
      </c>
      <c r="I268" s="696">
        <v>88350</v>
      </c>
      <c r="J268" s="814">
        <v>46500</v>
      </c>
      <c r="K268" s="696">
        <v>61400</v>
      </c>
      <c r="L268" s="696">
        <v>74400</v>
      </c>
      <c r="M268" s="696">
        <v>98200</v>
      </c>
      <c r="N268" s="814">
        <v>49250</v>
      </c>
      <c r="O268" s="696">
        <v>65050</v>
      </c>
      <c r="P268" s="696">
        <v>78800</v>
      </c>
      <c r="Q268" s="696">
        <v>104000</v>
      </c>
      <c r="R268" s="814">
        <v>54150</v>
      </c>
      <c r="S268" s="696">
        <v>71500</v>
      </c>
      <c r="T268" s="696">
        <v>86650</v>
      </c>
      <c r="U268" s="696">
        <v>114400</v>
      </c>
      <c r="V268" s="843">
        <v>59100</v>
      </c>
      <c r="W268" s="844">
        <v>78050</v>
      </c>
      <c r="X268" s="844">
        <v>94550</v>
      </c>
      <c r="Y268" s="844">
        <v>124850</v>
      </c>
    </row>
    <row r="269" spans="5:25" ht="15" x14ac:dyDescent="0.25">
      <c r="E269" s="697" t="s">
        <v>470</v>
      </c>
      <c r="F269" s="696">
        <v>35800</v>
      </c>
      <c r="G269" s="696">
        <v>47300</v>
      </c>
      <c r="H269" s="696">
        <v>57300</v>
      </c>
      <c r="I269" s="696">
        <v>75650</v>
      </c>
      <c r="J269" s="814">
        <v>39300</v>
      </c>
      <c r="K269" s="696">
        <v>51900</v>
      </c>
      <c r="L269" s="696">
        <v>62900</v>
      </c>
      <c r="M269" s="696">
        <v>83050</v>
      </c>
      <c r="N269" s="814">
        <v>41600</v>
      </c>
      <c r="O269" s="696">
        <v>54950</v>
      </c>
      <c r="P269" s="696">
        <v>66550</v>
      </c>
      <c r="Q269" s="696">
        <v>87850</v>
      </c>
      <c r="R269" s="814">
        <v>41650</v>
      </c>
      <c r="S269" s="696">
        <v>55000</v>
      </c>
      <c r="T269" s="696">
        <v>66650</v>
      </c>
      <c r="U269" s="696">
        <v>88000</v>
      </c>
      <c r="V269" s="843">
        <v>45450</v>
      </c>
      <c r="W269" s="844">
        <v>60000</v>
      </c>
      <c r="X269" s="844">
        <v>72700</v>
      </c>
      <c r="Y269" s="844">
        <v>96000</v>
      </c>
    </row>
    <row r="270" spans="5:25" ht="15" x14ac:dyDescent="0.25">
      <c r="E270" s="697" t="s">
        <v>471</v>
      </c>
      <c r="F270" s="696">
        <v>43150</v>
      </c>
      <c r="G270" s="696">
        <v>57000</v>
      </c>
      <c r="H270" s="696">
        <v>69050</v>
      </c>
      <c r="I270" s="696">
        <v>91150</v>
      </c>
      <c r="J270" s="814">
        <v>48250</v>
      </c>
      <c r="K270" s="696">
        <v>63700</v>
      </c>
      <c r="L270" s="696">
        <v>77200</v>
      </c>
      <c r="M270" s="696">
        <v>101900</v>
      </c>
      <c r="N270" s="814">
        <v>51100</v>
      </c>
      <c r="O270" s="696">
        <v>67500</v>
      </c>
      <c r="P270" s="696">
        <v>81750</v>
      </c>
      <c r="Q270" s="696">
        <v>107900</v>
      </c>
      <c r="R270" s="814">
        <v>53950</v>
      </c>
      <c r="S270" s="696">
        <v>71250</v>
      </c>
      <c r="T270" s="696">
        <v>86300</v>
      </c>
      <c r="U270" s="696">
        <v>113950</v>
      </c>
      <c r="V270" s="843">
        <v>57100</v>
      </c>
      <c r="W270" s="844">
        <v>75400</v>
      </c>
      <c r="X270" s="844">
        <v>91350</v>
      </c>
      <c r="Y270" s="844">
        <v>120600</v>
      </c>
    </row>
    <row r="271" spans="5:25" ht="15" x14ac:dyDescent="0.25">
      <c r="E271" s="697" t="s">
        <v>472</v>
      </c>
      <c r="F271" s="696">
        <v>35800</v>
      </c>
      <c r="G271" s="696">
        <v>47300</v>
      </c>
      <c r="H271" s="696">
        <v>57300</v>
      </c>
      <c r="I271" s="696">
        <v>75650</v>
      </c>
      <c r="J271" s="814">
        <v>39300</v>
      </c>
      <c r="K271" s="696">
        <v>51900</v>
      </c>
      <c r="L271" s="696">
        <v>62900</v>
      </c>
      <c r="M271" s="696">
        <v>83050</v>
      </c>
      <c r="N271" s="814">
        <v>41600</v>
      </c>
      <c r="O271" s="696">
        <v>54950</v>
      </c>
      <c r="P271" s="696">
        <v>66550</v>
      </c>
      <c r="Q271" s="696">
        <v>87850</v>
      </c>
      <c r="R271" s="814">
        <v>41600</v>
      </c>
      <c r="S271" s="696">
        <v>54950</v>
      </c>
      <c r="T271" s="696">
        <v>66550</v>
      </c>
      <c r="U271" s="696">
        <v>87850</v>
      </c>
      <c r="V271" s="843">
        <v>45150</v>
      </c>
      <c r="W271" s="844">
        <v>59600</v>
      </c>
      <c r="X271" s="844">
        <v>72250</v>
      </c>
      <c r="Y271" s="844">
        <v>95400</v>
      </c>
    </row>
    <row r="272" spans="5:25" ht="15" x14ac:dyDescent="0.25">
      <c r="E272" s="697" t="s">
        <v>473</v>
      </c>
      <c r="F272" s="696">
        <v>35850</v>
      </c>
      <c r="G272" s="696">
        <v>47350</v>
      </c>
      <c r="H272" s="696">
        <v>57350</v>
      </c>
      <c r="I272" s="696">
        <v>75700</v>
      </c>
      <c r="J272" s="814">
        <v>40100</v>
      </c>
      <c r="K272" s="696">
        <v>52950</v>
      </c>
      <c r="L272" s="696">
        <v>64150</v>
      </c>
      <c r="M272" s="696">
        <v>84700</v>
      </c>
      <c r="N272" s="814">
        <v>42450</v>
      </c>
      <c r="O272" s="696">
        <v>56050</v>
      </c>
      <c r="P272" s="696">
        <v>67900</v>
      </c>
      <c r="Q272" s="696">
        <v>89650</v>
      </c>
      <c r="R272" s="814">
        <v>42450</v>
      </c>
      <c r="S272" s="696">
        <v>56050</v>
      </c>
      <c r="T272" s="696">
        <v>67900</v>
      </c>
      <c r="U272" s="696">
        <v>89650</v>
      </c>
      <c r="V272" s="843">
        <v>45150</v>
      </c>
      <c r="W272" s="844">
        <v>59600</v>
      </c>
      <c r="X272" s="844">
        <v>72250</v>
      </c>
      <c r="Y272" s="844">
        <v>95400</v>
      </c>
    </row>
    <row r="273" spans="5:25" ht="15" x14ac:dyDescent="0.25">
      <c r="E273" s="697" t="s">
        <v>474</v>
      </c>
      <c r="F273" s="696">
        <v>35800</v>
      </c>
      <c r="G273" s="696">
        <v>47300</v>
      </c>
      <c r="H273" s="696">
        <v>57300</v>
      </c>
      <c r="I273" s="696">
        <v>75650</v>
      </c>
      <c r="J273" s="814">
        <v>39300</v>
      </c>
      <c r="K273" s="696">
        <v>51900</v>
      </c>
      <c r="L273" s="696">
        <v>62900</v>
      </c>
      <c r="M273" s="696">
        <v>83050</v>
      </c>
      <c r="N273" s="814">
        <v>41600</v>
      </c>
      <c r="O273" s="696">
        <v>54950</v>
      </c>
      <c r="P273" s="696">
        <v>66550</v>
      </c>
      <c r="Q273" s="696">
        <v>87850</v>
      </c>
      <c r="R273" s="814">
        <v>41600</v>
      </c>
      <c r="S273" s="696">
        <v>54950</v>
      </c>
      <c r="T273" s="696">
        <v>66550</v>
      </c>
      <c r="U273" s="696">
        <v>87850</v>
      </c>
      <c r="V273" s="843">
        <v>45150</v>
      </c>
      <c r="W273" s="844">
        <v>59600</v>
      </c>
      <c r="X273" s="844">
        <v>72250</v>
      </c>
      <c r="Y273" s="844">
        <v>95400</v>
      </c>
    </row>
    <row r="274" spans="5:25" ht="15" x14ac:dyDescent="0.25">
      <c r="E274" s="697" t="s">
        <v>475</v>
      </c>
      <c r="F274" s="696">
        <v>38550</v>
      </c>
      <c r="G274" s="696">
        <v>50900</v>
      </c>
      <c r="H274" s="696">
        <v>61700</v>
      </c>
      <c r="I274" s="696">
        <v>81450</v>
      </c>
      <c r="J274" s="814">
        <v>43100</v>
      </c>
      <c r="K274" s="696">
        <v>56900</v>
      </c>
      <c r="L274" s="696">
        <v>68950</v>
      </c>
      <c r="M274" s="696">
        <v>91000</v>
      </c>
      <c r="N274" s="814">
        <v>45650</v>
      </c>
      <c r="O274" s="696">
        <v>60300</v>
      </c>
      <c r="P274" s="696">
        <v>73050</v>
      </c>
      <c r="Q274" s="696">
        <v>96450</v>
      </c>
      <c r="R274" s="814">
        <v>47250</v>
      </c>
      <c r="S274" s="696">
        <v>62400</v>
      </c>
      <c r="T274" s="696">
        <v>75600</v>
      </c>
      <c r="U274" s="696">
        <v>99800</v>
      </c>
      <c r="V274" s="843">
        <v>50300</v>
      </c>
      <c r="W274" s="844">
        <v>66400</v>
      </c>
      <c r="X274" s="844">
        <v>80500</v>
      </c>
      <c r="Y274" s="844">
        <v>106300</v>
      </c>
    </row>
    <row r="275" spans="5:25" ht="15" x14ac:dyDescent="0.25">
      <c r="E275" s="697" t="s">
        <v>476</v>
      </c>
      <c r="F275" s="696">
        <v>35800</v>
      </c>
      <c r="G275" s="696">
        <v>47300</v>
      </c>
      <c r="H275" s="696">
        <v>57300</v>
      </c>
      <c r="I275" s="696">
        <v>75650</v>
      </c>
      <c r="J275" s="814">
        <v>39300</v>
      </c>
      <c r="K275" s="696">
        <v>51900</v>
      </c>
      <c r="L275" s="696">
        <v>62900</v>
      </c>
      <c r="M275" s="696">
        <v>83050</v>
      </c>
      <c r="N275" s="814">
        <v>41600</v>
      </c>
      <c r="O275" s="696">
        <v>54950</v>
      </c>
      <c r="P275" s="696">
        <v>66550</v>
      </c>
      <c r="Q275" s="696">
        <v>87850</v>
      </c>
      <c r="R275" s="814">
        <v>41600</v>
      </c>
      <c r="S275" s="696">
        <v>54950</v>
      </c>
      <c r="T275" s="696">
        <v>66550</v>
      </c>
      <c r="U275" s="696">
        <v>87850</v>
      </c>
      <c r="V275" s="843">
        <v>45150</v>
      </c>
      <c r="W275" s="844">
        <v>59600</v>
      </c>
      <c r="X275" s="844">
        <v>72250</v>
      </c>
      <c r="Y275" s="844">
        <v>95400</v>
      </c>
    </row>
    <row r="276" spans="5:25" ht="15" x14ac:dyDescent="0.25">
      <c r="E276" s="697" t="s">
        <v>477</v>
      </c>
      <c r="F276" s="696">
        <v>39050</v>
      </c>
      <c r="G276" s="696">
        <v>51550</v>
      </c>
      <c r="H276" s="696">
        <v>62500</v>
      </c>
      <c r="I276" s="696">
        <v>82500</v>
      </c>
      <c r="J276" s="814">
        <v>42950</v>
      </c>
      <c r="K276" s="696">
        <v>56700</v>
      </c>
      <c r="L276" s="696">
        <v>68700</v>
      </c>
      <c r="M276" s="696">
        <v>90700</v>
      </c>
      <c r="N276" s="814">
        <v>44200</v>
      </c>
      <c r="O276" s="696">
        <v>58350</v>
      </c>
      <c r="P276" s="696">
        <v>70700</v>
      </c>
      <c r="Q276" s="696">
        <v>93300</v>
      </c>
      <c r="R276" s="814">
        <v>44200</v>
      </c>
      <c r="S276" s="696">
        <v>58350</v>
      </c>
      <c r="T276" s="696">
        <v>70700</v>
      </c>
      <c r="U276" s="696">
        <v>93350</v>
      </c>
      <c r="V276" s="843">
        <v>45850</v>
      </c>
      <c r="W276" s="844">
        <v>60550</v>
      </c>
      <c r="X276" s="844">
        <v>73350</v>
      </c>
      <c r="Y276" s="844">
        <v>96850</v>
      </c>
    </row>
    <row r="277" spans="5:25" ht="15" x14ac:dyDescent="0.25">
      <c r="E277" s="697" t="s">
        <v>478</v>
      </c>
      <c r="F277" s="696">
        <v>35800</v>
      </c>
      <c r="G277" s="696">
        <v>47300</v>
      </c>
      <c r="H277" s="696">
        <v>57300</v>
      </c>
      <c r="I277" s="696">
        <v>75650</v>
      </c>
      <c r="J277" s="814">
        <v>39300</v>
      </c>
      <c r="K277" s="696">
        <v>51900</v>
      </c>
      <c r="L277" s="696">
        <v>62900</v>
      </c>
      <c r="M277" s="696">
        <v>83050</v>
      </c>
      <c r="N277" s="814">
        <v>41600</v>
      </c>
      <c r="O277" s="696">
        <v>54950</v>
      </c>
      <c r="P277" s="696">
        <v>66550</v>
      </c>
      <c r="Q277" s="696">
        <v>87850</v>
      </c>
      <c r="R277" s="814">
        <v>41600</v>
      </c>
      <c r="S277" s="696">
        <v>54950</v>
      </c>
      <c r="T277" s="696">
        <v>66550</v>
      </c>
      <c r="U277" s="696">
        <v>87850</v>
      </c>
      <c r="V277" s="843">
        <v>45150</v>
      </c>
      <c r="W277" s="844">
        <v>59600</v>
      </c>
      <c r="X277" s="844">
        <v>72250</v>
      </c>
      <c r="Y277" s="844">
        <v>95400</v>
      </c>
    </row>
    <row r="278" spans="5:25" ht="15" x14ac:dyDescent="0.25">
      <c r="E278" s="697" t="s">
        <v>479</v>
      </c>
      <c r="F278" s="696">
        <v>36450</v>
      </c>
      <c r="G278" s="696">
        <v>48150</v>
      </c>
      <c r="H278" s="696">
        <v>58300</v>
      </c>
      <c r="I278" s="696">
        <v>76950</v>
      </c>
      <c r="J278" s="814">
        <v>40750</v>
      </c>
      <c r="K278" s="696">
        <v>53800</v>
      </c>
      <c r="L278" s="696">
        <v>65200</v>
      </c>
      <c r="M278" s="696">
        <v>86050</v>
      </c>
      <c r="N278" s="814">
        <v>43150</v>
      </c>
      <c r="O278" s="696">
        <v>57000</v>
      </c>
      <c r="P278" s="696">
        <v>69050</v>
      </c>
      <c r="Q278" s="696">
        <v>91150</v>
      </c>
      <c r="R278" s="814">
        <v>43800</v>
      </c>
      <c r="S278" s="696">
        <v>57850</v>
      </c>
      <c r="T278" s="696">
        <v>70100</v>
      </c>
      <c r="U278" s="696">
        <v>92550</v>
      </c>
      <c r="V278" s="843">
        <v>46500</v>
      </c>
      <c r="W278" s="844">
        <v>61400</v>
      </c>
      <c r="X278" s="844">
        <v>74400</v>
      </c>
      <c r="Y278" s="844">
        <v>98250</v>
      </c>
    </row>
    <row r="279" spans="5:25" ht="15" x14ac:dyDescent="0.25">
      <c r="E279" s="697" t="s">
        <v>480</v>
      </c>
      <c r="F279" s="696">
        <v>43900</v>
      </c>
      <c r="G279" s="696">
        <v>57950</v>
      </c>
      <c r="H279" s="696">
        <v>70250</v>
      </c>
      <c r="I279" s="696">
        <v>92750</v>
      </c>
      <c r="J279" s="814">
        <v>47550</v>
      </c>
      <c r="K279" s="696">
        <v>62800</v>
      </c>
      <c r="L279" s="696">
        <v>76100</v>
      </c>
      <c r="M279" s="696">
        <v>100450</v>
      </c>
      <c r="N279" s="814">
        <v>50350</v>
      </c>
      <c r="O279" s="696">
        <v>66500</v>
      </c>
      <c r="P279" s="696">
        <v>80550</v>
      </c>
      <c r="Q279" s="696">
        <v>106350</v>
      </c>
      <c r="R279" s="814">
        <v>54750</v>
      </c>
      <c r="S279" s="696">
        <v>72300</v>
      </c>
      <c r="T279" s="696">
        <v>87600</v>
      </c>
      <c r="U279" s="696">
        <v>115650</v>
      </c>
      <c r="V279" s="843">
        <v>56850</v>
      </c>
      <c r="W279" s="844">
        <v>75050</v>
      </c>
      <c r="X279" s="844">
        <v>90950</v>
      </c>
      <c r="Y279" s="844">
        <v>120100</v>
      </c>
    </row>
    <row r="280" spans="5:25" ht="15" x14ac:dyDescent="0.25">
      <c r="E280" s="697" t="s">
        <v>481</v>
      </c>
      <c r="F280" s="696">
        <v>39750</v>
      </c>
      <c r="G280" s="696">
        <v>52500</v>
      </c>
      <c r="H280" s="696">
        <v>63600</v>
      </c>
      <c r="I280" s="696">
        <v>83950</v>
      </c>
      <c r="J280" s="814">
        <v>41500</v>
      </c>
      <c r="K280" s="696">
        <v>54800</v>
      </c>
      <c r="L280" s="696">
        <v>66400</v>
      </c>
      <c r="M280" s="696">
        <v>87650</v>
      </c>
      <c r="N280" s="814">
        <v>43950</v>
      </c>
      <c r="O280" s="696">
        <v>58050</v>
      </c>
      <c r="P280" s="696">
        <v>70300</v>
      </c>
      <c r="Q280" s="696">
        <v>92800</v>
      </c>
      <c r="R280" s="814">
        <v>43950</v>
      </c>
      <c r="S280" s="696">
        <v>58050</v>
      </c>
      <c r="T280" s="696">
        <v>70300</v>
      </c>
      <c r="U280" s="696">
        <v>92800</v>
      </c>
      <c r="V280" s="843">
        <v>46500</v>
      </c>
      <c r="W280" s="844">
        <v>61400</v>
      </c>
      <c r="X280" s="844">
        <v>74400</v>
      </c>
      <c r="Y280" s="844">
        <v>98250</v>
      </c>
    </row>
    <row r="281" spans="5:25" ht="15" x14ac:dyDescent="0.25">
      <c r="E281" s="697" t="s">
        <v>482</v>
      </c>
      <c r="F281" s="696">
        <v>35800</v>
      </c>
      <c r="G281" s="696">
        <v>47300</v>
      </c>
      <c r="H281" s="696">
        <v>57300</v>
      </c>
      <c r="I281" s="696">
        <v>75650</v>
      </c>
      <c r="J281" s="814">
        <v>39300</v>
      </c>
      <c r="K281" s="696">
        <v>51900</v>
      </c>
      <c r="L281" s="696">
        <v>62900</v>
      </c>
      <c r="M281" s="696">
        <v>83050</v>
      </c>
      <c r="N281" s="814">
        <v>41600</v>
      </c>
      <c r="O281" s="696">
        <v>54950</v>
      </c>
      <c r="P281" s="696">
        <v>66550</v>
      </c>
      <c r="Q281" s="696">
        <v>87850</v>
      </c>
      <c r="R281" s="814">
        <v>41600</v>
      </c>
      <c r="S281" s="696">
        <v>54950</v>
      </c>
      <c r="T281" s="696">
        <v>66550</v>
      </c>
      <c r="U281" s="696">
        <v>87850</v>
      </c>
      <c r="V281" s="843">
        <v>45150</v>
      </c>
      <c r="W281" s="844">
        <v>59600</v>
      </c>
      <c r="X281" s="844">
        <v>72250</v>
      </c>
      <c r="Y281" s="844">
        <v>95400</v>
      </c>
    </row>
    <row r="282" spans="5:25" ht="15" x14ac:dyDescent="0.25">
      <c r="E282" s="697" t="s">
        <v>483</v>
      </c>
      <c r="F282" s="696">
        <v>35800</v>
      </c>
      <c r="G282" s="696">
        <v>47300</v>
      </c>
      <c r="H282" s="696">
        <v>57300</v>
      </c>
      <c r="I282" s="696">
        <v>75650</v>
      </c>
      <c r="J282" s="814">
        <v>39300</v>
      </c>
      <c r="K282" s="696">
        <v>51900</v>
      </c>
      <c r="L282" s="696">
        <v>62900</v>
      </c>
      <c r="M282" s="696">
        <v>83050</v>
      </c>
      <c r="N282" s="814">
        <v>41600</v>
      </c>
      <c r="O282" s="696">
        <v>54950</v>
      </c>
      <c r="P282" s="696">
        <v>66550</v>
      </c>
      <c r="Q282" s="696">
        <v>87850</v>
      </c>
      <c r="R282" s="814">
        <v>42550</v>
      </c>
      <c r="S282" s="696">
        <v>56200</v>
      </c>
      <c r="T282" s="696">
        <v>68100</v>
      </c>
      <c r="U282" s="696">
        <v>89900</v>
      </c>
      <c r="V282" s="843">
        <v>46450</v>
      </c>
      <c r="W282" s="844">
        <v>61350</v>
      </c>
      <c r="X282" s="844">
        <v>74300</v>
      </c>
      <c r="Y282" s="844">
        <v>98100</v>
      </c>
    </row>
    <row r="283" spans="5:25" ht="15" x14ac:dyDescent="0.25">
      <c r="E283" s="697" t="s">
        <v>484</v>
      </c>
      <c r="F283" s="696">
        <v>38050</v>
      </c>
      <c r="G283" s="696">
        <v>50250</v>
      </c>
      <c r="H283" s="696">
        <v>60900</v>
      </c>
      <c r="I283" s="696">
        <v>80400</v>
      </c>
      <c r="J283" s="814">
        <v>41900</v>
      </c>
      <c r="K283" s="696">
        <v>55350</v>
      </c>
      <c r="L283" s="696">
        <v>67050</v>
      </c>
      <c r="M283" s="696">
        <v>88500</v>
      </c>
      <c r="N283" s="814">
        <v>44350</v>
      </c>
      <c r="O283" s="696">
        <v>58550</v>
      </c>
      <c r="P283" s="696">
        <v>70950</v>
      </c>
      <c r="Q283" s="696">
        <v>93650</v>
      </c>
      <c r="R283" s="814">
        <v>45500</v>
      </c>
      <c r="S283" s="696">
        <v>60100</v>
      </c>
      <c r="T283" s="696">
        <v>72800</v>
      </c>
      <c r="U283" s="696">
        <v>96100</v>
      </c>
      <c r="V283" s="843">
        <v>47800</v>
      </c>
      <c r="W283" s="844">
        <v>63100</v>
      </c>
      <c r="X283" s="844">
        <v>76500</v>
      </c>
      <c r="Y283" s="844">
        <v>101000</v>
      </c>
    </row>
    <row r="284" spans="5:25" ht="15" x14ac:dyDescent="0.25">
      <c r="E284" s="697" t="s">
        <v>485</v>
      </c>
      <c r="F284" s="696">
        <v>34550</v>
      </c>
      <c r="G284" s="696">
        <v>45650</v>
      </c>
      <c r="H284" s="696">
        <v>55300</v>
      </c>
      <c r="I284" s="696">
        <v>73000</v>
      </c>
      <c r="J284" s="814">
        <v>37750</v>
      </c>
      <c r="K284" s="696">
        <v>49850</v>
      </c>
      <c r="L284" s="696">
        <v>60400</v>
      </c>
      <c r="M284" s="696">
        <v>79750</v>
      </c>
      <c r="N284" s="814">
        <v>39950</v>
      </c>
      <c r="O284" s="696">
        <v>52750</v>
      </c>
      <c r="P284" s="696">
        <v>63900</v>
      </c>
      <c r="Q284" s="696">
        <v>84350</v>
      </c>
      <c r="R284" s="814">
        <v>43200</v>
      </c>
      <c r="S284" s="696">
        <v>57050</v>
      </c>
      <c r="T284" s="696">
        <v>69100</v>
      </c>
      <c r="U284" s="696">
        <v>91250</v>
      </c>
      <c r="V284" s="843">
        <v>45700</v>
      </c>
      <c r="W284" s="844">
        <v>60350</v>
      </c>
      <c r="X284" s="844">
        <v>73100</v>
      </c>
      <c r="Y284" s="844">
        <v>96500</v>
      </c>
    </row>
    <row r="285" spans="5:25" ht="15" x14ac:dyDescent="0.25">
      <c r="E285" s="697" t="s">
        <v>486</v>
      </c>
      <c r="F285" s="696">
        <v>38000</v>
      </c>
      <c r="G285" s="696">
        <v>50200</v>
      </c>
      <c r="H285" s="696">
        <v>60800</v>
      </c>
      <c r="I285" s="696">
        <v>80250</v>
      </c>
      <c r="J285" s="814">
        <v>40300</v>
      </c>
      <c r="K285" s="696">
        <v>53200</v>
      </c>
      <c r="L285" s="696">
        <v>64500</v>
      </c>
      <c r="M285" s="696">
        <v>85150</v>
      </c>
      <c r="N285" s="814">
        <v>42650</v>
      </c>
      <c r="O285" s="696">
        <v>56300</v>
      </c>
      <c r="P285" s="696">
        <v>68250</v>
      </c>
      <c r="Q285" s="696">
        <v>90100</v>
      </c>
      <c r="R285" s="814">
        <v>45750</v>
      </c>
      <c r="S285" s="696">
        <v>60400</v>
      </c>
      <c r="T285" s="696">
        <v>73200</v>
      </c>
      <c r="U285" s="696">
        <v>96650</v>
      </c>
      <c r="V285" s="843">
        <v>49750</v>
      </c>
      <c r="W285" s="844">
        <v>65700</v>
      </c>
      <c r="X285" s="844">
        <v>79600</v>
      </c>
      <c r="Y285" s="844">
        <v>105100</v>
      </c>
    </row>
    <row r="286" spans="5:25" ht="15" x14ac:dyDescent="0.25">
      <c r="E286" s="697" t="s">
        <v>487</v>
      </c>
      <c r="F286" s="696">
        <v>44600</v>
      </c>
      <c r="G286" s="696">
        <v>58900</v>
      </c>
      <c r="H286" s="696">
        <v>71350</v>
      </c>
      <c r="I286" s="696">
        <v>94200</v>
      </c>
      <c r="J286" s="814">
        <v>46850</v>
      </c>
      <c r="K286" s="696">
        <v>61850</v>
      </c>
      <c r="L286" s="696">
        <v>74950</v>
      </c>
      <c r="M286" s="696">
        <v>98950</v>
      </c>
      <c r="N286" s="814">
        <v>47850</v>
      </c>
      <c r="O286" s="696">
        <v>63200</v>
      </c>
      <c r="P286" s="696">
        <v>76550</v>
      </c>
      <c r="Q286" s="696">
        <v>101050</v>
      </c>
      <c r="R286" s="814">
        <v>50750</v>
      </c>
      <c r="S286" s="696">
        <v>67000</v>
      </c>
      <c r="T286" s="696">
        <v>81200</v>
      </c>
      <c r="U286" s="696">
        <v>107200</v>
      </c>
      <c r="V286" s="843">
        <v>52200</v>
      </c>
      <c r="W286" s="844">
        <v>68950</v>
      </c>
      <c r="X286" s="844">
        <v>83500</v>
      </c>
      <c r="Y286" s="844">
        <v>110250</v>
      </c>
    </row>
    <row r="287" spans="5:25" ht="15" x14ac:dyDescent="0.25">
      <c r="E287" s="697" t="s">
        <v>488</v>
      </c>
      <c r="F287" s="696">
        <v>29650</v>
      </c>
      <c r="G287" s="696">
        <v>39150</v>
      </c>
      <c r="H287" s="696">
        <v>47450</v>
      </c>
      <c r="I287" s="696">
        <v>62650</v>
      </c>
      <c r="J287" s="814">
        <v>32350</v>
      </c>
      <c r="K287" s="696">
        <v>42750</v>
      </c>
      <c r="L287" s="696">
        <v>51750</v>
      </c>
      <c r="M287" s="696">
        <v>68300</v>
      </c>
      <c r="N287" s="814">
        <v>34250</v>
      </c>
      <c r="O287" s="696">
        <v>45250</v>
      </c>
      <c r="P287" s="696">
        <v>54800</v>
      </c>
      <c r="Q287" s="696">
        <v>72350</v>
      </c>
      <c r="R287" s="814">
        <v>34500</v>
      </c>
      <c r="S287" s="696">
        <v>45550</v>
      </c>
      <c r="T287" s="696">
        <v>55200</v>
      </c>
      <c r="U287" s="696">
        <v>72900</v>
      </c>
      <c r="V287" s="843">
        <v>37100</v>
      </c>
      <c r="W287" s="844">
        <v>49000</v>
      </c>
      <c r="X287" s="844">
        <v>59350</v>
      </c>
      <c r="Y287" s="844">
        <v>78350</v>
      </c>
    </row>
    <row r="288" spans="5:25" ht="15" x14ac:dyDescent="0.25">
      <c r="E288" s="697" t="s">
        <v>489</v>
      </c>
      <c r="F288" s="696">
        <v>35750</v>
      </c>
      <c r="G288" s="696">
        <v>47200</v>
      </c>
      <c r="H288" s="696">
        <v>57200</v>
      </c>
      <c r="I288" s="696">
        <v>75500</v>
      </c>
      <c r="J288" s="814">
        <v>39750</v>
      </c>
      <c r="K288" s="696">
        <v>52500</v>
      </c>
      <c r="L288" s="696">
        <v>63600</v>
      </c>
      <c r="M288" s="696">
        <v>83950</v>
      </c>
      <c r="N288" s="814">
        <v>42100</v>
      </c>
      <c r="O288" s="696">
        <v>55600</v>
      </c>
      <c r="P288" s="696">
        <v>67350</v>
      </c>
      <c r="Q288" s="696">
        <v>88900</v>
      </c>
      <c r="R288" s="814">
        <v>46300</v>
      </c>
      <c r="S288" s="696">
        <v>61150</v>
      </c>
      <c r="T288" s="696">
        <v>74050</v>
      </c>
      <c r="U288" s="696">
        <v>97750</v>
      </c>
      <c r="V288" s="843">
        <v>49950</v>
      </c>
      <c r="W288" s="844">
        <v>65950</v>
      </c>
      <c r="X288" s="844">
        <v>79900</v>
      </c>
      <c r="Y288" s="844">
        <v>105500</v>
      </c>
    </row>
    <row r="289" spans="5:25" ht="15" x14ac:dyDescent="0.25">
      <c r="E289" s="697" t="s">
        <v>490</v>
      </c>
      <c r="F289" s="696">
        <v>29650</v>
      </c>
      <c r="G289" s="696">
        <v>39150</v>
      </c>
      <c r="H289" s="696">
        <v>47450</v>
      </c>
      <c r="I289" s="696">
        <v>62650</v>
      </c>
      <c r="J289" s="814">
        <v>32350</v>
      </c>
      <c r="K289" s="696">
        <v>42750</v>
      </c>
      <c r="L289" s="696">
        <v>51750</v>
      </c>
      <c r="M289" s="696">
        <v>68300</v>
      </c>
      <c r="N289" s="814">
        <v>34250</v>
      </c>
      <c r="O289" s="696">
        <v>45250</v>
      </c>
      <c r="P289" s="696">
        <v>54800</v>
      </c>
      <c r="Q289" s="696">
        <v>72350</v>
      </c>
      <c r="R289" s="814">
        <v>34500</v>
      </c>
      <c r="S289" s="696">
        <v>45550</v>
      </c>
      <c r="T289" s="696">
        <v>55200</v>
      </c>
      <c r="U289" s="696">
        <v>72900</v>
      </c>
      <c r="V289" s="843">
        <v>37100</v>
      </c>
      <c r="W289" s="844">
        <v>49000</v>
      </c>
      <c r="X289" s="844">
        <v>59350</v>
      </c>
      <c r="Y289" s="844">
        <v>78350</v>
      </c>
    </row>
    <row r="290" spans="5:25" ht="15" x14ac:dyDescent="0.25">
      <c r="E290" s="697" t="s">
        <v>491</v>
      </c>
      <c r="F290" s="696">
        <v>32750</v>
      </c>
      <c r="G290" s="696">
        <v>43250</v>
      </c>
      <c r="H290" s="696">
        <v>52400</v>
      </c>
      <c r="I290" s="696">
        <v>69150</v>
      </c>
      <c r="J290" s="814">
        <v>32750</v>
      </c>
      <c r="K290" s="696">
        <v>43250</v>
      </c>
      <c r="L290" s="696">
        <v>52400</v>
      </c>
      <c r="M290" s="696">
        <v>69150</v>
      </c>
      <c r="N290" s="814">
        <v>34250</v>
      </c>
      <c r="O290" s="696">
        <v>45250</v>
      </c>
      <c r="P290" s="696">
        <v>54800</v>
      </c>
      <c r="Q290" s="696">
        <v>72350</v>
      </c>
      <c r="R290" s="814">
        <v>37500</v>
      </c>
      <c r="S290" s="696">
        <v>49500</v>
      </c>
      <c r="T290" s="696">
        <v>60000</v>
      </c>
      <c r="U290" s="696">
        <v>79200</v>
      </c>
      <c r="V290" s="843">
        <v>39500</v>
      </c>
      <c r="W290" s="844">
        <v>52150</v>
      </c>
      <c r="X290" s="844">
        <v>63200</v>
      </c>
      <c r="Y290" s="844">
        <v>83450</v>
      </c>
    </row>
    <row r="291" spans="5:25" ht="15" x14ac:dyDescent="0.25">
      <c r="E291" s="697" t="s">
        <v>492</v>
      </c>
      <c r="F291" s="696">
        <v>33850</v>
      </c>
      <c r="G291" s="696">
        <v>44700</v>
      </c>
      <c r="H291" s="696">
        <v>54150</v>
      </c>
      <c r="I291" s="696">
        <v>71500</v>
      </c>
      <c r="J291" s="814">
        <v>33850</v>
      </c>
      <c r="K291" s="696">
        <v>44700</v>
      </c>
      <c r="L291" s="696">
        <v>54150</v>
      </c>
      <c r="M291" s="696">
        <v>71500</v>
      </c>
      <c r="N291" s="814">
        <v>35400</v>
      </c>
      <c r="O291" s="696">
        <v>46750</v>
      </c>
      <c r="P291" s="696">
        <v>56650</v>
      </c>
      <c r="Q291" s="696">
        <v>74800</v>
      </c>
      <c r="R291" s="814">
        <v>38900</v>
      </c>
      <c r="S291" s="696">
        <v>51350</v>
      </c>
      <c r="T291" s="696">
        <v>62250</v>
      </c>
      <c r="U291" s="696">
        <v>82200</v>
      </c>
      <c r="V291" s="843">
        <v>40100</v>
      </c>
      <c r="W291" s="844">
        <v>52950</v>
      </c>
      <c r="X291" s="844">
        <v>64150</v>
      </c>
      <c r="Y291" s="844">
        <v>84700</v>
      </c>
    </row>
    <row r="292" spans="5:25" ht="15" x14ac:dyDescent="0.25">
      <c r="E292" s="697" t="s">
        <v>493</v>
      </c>
      <c r="F292" s="696">
        <v>31200</v>
      </c>
      <c r="G292" s="696">
        <v>41200</v>
      </c>
      <c r="H292" s="696">
        <v>49900</v>
      </c>
      <c r="I292" s="696">
        <v>65850</v>
      </c>
      <c r="J292" s="814">
        <v>32350</v>
      </c>
      <c r="K292" s="696">
        <v>42750</v>
      </c>
      <c r="L292" s="696">
        <v>51750</v>
      </c>
      <c r="M292" s="696">
        <v>68300</v>
      </c>
      <c r="N292" s="814">
        <v>34250</v>
      </c>
      <c r="O292" s="696">
        <v>45250</v>
      </c>
      <c r="P292" s="696">
        <v>54800</v>
      </c>
      <c r="Q292" s="696">
        <v>72350</v>
      </c>
      <c r="R292" s="814">
        <v>37500</v>
      </c>
      <c r="S292" s="696">
        <v>49500</v>
      </c>
      <c r="T292" s="696">
        <v>60000</v>
      </c>
      <c r="U292" s="696">
        <v>79200</v>
      </c>
      <c r="V292" s="843">
        <v>39150</v>
      </c>
      <c r="W292" s="844">
        <v>51700</v>
      </c>
      <c r="X292" s="844">
        <v>62650</v>
      </c>
      <c r="Y292" s="844">
        <v>82700</v>
      </c>
    </row>
    <row r="293" spans="5:25" ht="15" x14ac:dyDescent="0.25">
      <c r="E293" s="697" t="s">
        <v>494</v>
      </c>
      <c r="F293" s="696">
        <v>29650</v>
      </c>
      <c r="G293" s="696">
        <v>39150</v>
      </c>
      <c r="H293" s="696">
        <v>47450</v>
      </c>
      <c r="I293" s="696">
        <v>62650</v>
      </c>
      <c r="J293" s="814">
        <v>32350</v>
      </c>
      <c r="K293" s="696">
        <v>42750</v>
      </c>
      <c r="L293" s="696">
        <v>51750</v>
      </c>
      <c r="M293" s="696">
        <v>68300</v>
      </c>
      <c r="N293" s="814">
        <v>34250</v>
      </c>
      <c r="O293" s="696">
        <v>45250</v>
      </c>
      <c r="P293" s="696">
        <v>54800</v>
      </c>
      <c r="Q293" s="696">
        <v>72350</v>
      </c>
      <c r="R293" s="814">
        <v>34850</v>
      </c>
      <c r="S293" s="696">
        <v>46050</v>
      </c>
      <c r="T293" s="696">
        <v>55750</v>
      </c>
      <c r="U293" s="696">
        <v>73600</v>
      </c>
      <c r="V293" s="843">
        <v>37100</v>
      </c>
      <c r="W293" s="844">
        <v>49000</v>
      </c>
      <c r="X293" s="844">
        <v>59350</v>
      </c>
      <c r="Y293" s="844">
        <v>78350</v>
      </c>
    </row>
    <row r="294" spans="5:25" ht="15" x14ac:dyDescent="0.25">
      <c r="E294" s="697" t="s">
        <v>495</v>
      </c>
      <c r="F294" s="696">
        <v>29650</v>
      </c>
      <c r="G294" s="696">
        <v>39150</v>
      </c>
      <c r="H294" s="696">
        <v>47450</v>
      </c>
      <c r="I294" s="696">
        <v>62650</v>
      </c>
      <c r="J294" s="814">
        <v>32350</v>
      </c>
      <c r="K294" s="696">
        <v>42750</v>
      </c>
      <c r="L294" s="696">
        <v>51750</v>
      </c>
      <c r="M294" s="696">
        <v>68300</v>
      </c>
      <c r="N294" s="814">
        <v>34250</v>
      </c>
      <c r="O294" s="696">
        <v>45250</v>
      </c>
      <c r="P294" s="696">
        <v>54800</v>
      </c>
      <c r="Q294" s="696">
        <v>72350</v>
      </c>
      <c r="R294" s="814">
        <v>34800</v>
      </c>
      <c r="S294" s="696">
        <v>45950</v>
      </c>
      <c r="T294" s="696">
        <v>55700</v>
      </c>
      <c r="U294" s="696">
        <v>73550</v>
      </c>
      <c r="V294" s="843">
        <v>37100</v>
      </c>
      <c r="W294" s="844">
        <v>49000</v>
      </c>
      <c r="X294" s="844">
        <v>59350</v>
      </c>
      <c r="Y294" s="844">
        <v>78350</v>
      </c>
    </row>
    <row r="295" spans="5:25" ht="15" x14ac:dyDescent="0.25">
      <c r="E295" s="697" t="s">
        <v>496</v>
      </c>
      <c r="F295" s="696">
        <v>37200</v>
      </c>
      <c r="G295" s="696">
        <v>49150</v>
      </c>
      <c r="H295" s="696">
        <v>59500</v>
      </c>
      <c r="I295" s="696">
        <v>78550</v>
      </c>
      <c r="J295" s="814">
        <v>40950</v>
      </c>
      <c r="K295" s="696">
        <v>54100</v>
      </c>
      <c r="L295" s="696">
        <v>65500</v>
      </c>
      <c r="M295" s="696">
        <v>86450</v>
      </c>
      <c r="N295" s="814">
        <v>43000</v>
      </c>
      <c r="O295" s="696">
        <v>56800</v>
      </c>
      <c r="P295" s="696">
        <v>68800</v>
      </c>
      <c r="Q295" s="696">
        <v>90800</v>
      </c>
      <c r="R295" s="814">
        <v>44750</v>
      </c>
      <c r="S295" s="696">
        <v>59100</v>
      </c>
      <c r="T295" s="696">
        <v>71600</v>
      </c>
      <c r="U295" s="696">
        <v>94550</v>
      </c>
      <c r="V295" s="843">
        <v>48850</v>
      </c>
      <c r="W295" s="844">
        <v>64500</v>
      </c>
      <c r="X295" s="844">
        <v>78150</v>
      </c>
      <c r="Y295" s="844">
        <v>103200</v>
      </c>
    </row>
    <row r="296" spans="5:25" ht="15" x14ac:dyDescent="0.25">
      <c r="E296" s="697" t="s">
        <v>497</v>
      </c>
      <c r="F296" s="696">
        <v>31400</v>
      </c>
      <c r="G296" s="696">
        <v>41450</v>
      </c>
      <c r="H296" s="696">
        <v>50250</v>
      </c>
      <c r="I296" s="696">
        <v>66350</v>
      </c>
      <c r="J296" s="814">
        <v>34950</v>
      </c>
      <c r="K296" s="696">
        <v>46150</v>
      </c>
      <c r="L296" s="696">
        <v>55900</v>
      </c>
      <c r="M296" s="696">
        <v>73800</v>
      </c>
      <c r="N296" s="814">
        <v>37000</v>
      </c>
      <c r="O296" s="696">
        <v>48850</v>
      </c>
      <c r="P296" s="696">
        <v>59200</v>
      </c>
      <c r="Q296" s="696">
        <v>78150</v>
      </c>
      <c r="R296" s="814">
        <v>38350</v>
      </c>
      <c r="S296" s="696">
        <v>50650</v>
      </c>
      <c r="T296" s="696">
        <v>61350</v>
      </c>
      <c r="U296" s="696">
        <v>81000</v>
      </c>
      <c r="V296" s="843">
        <v>40800</v>
      </c>
      <c r="W296" s="844">
        <v>53900</v>
      </c>
      <c r="X296" s="844">
        <v>65300</v>
      </c>
      <c r="Y296" s="844">
        <v>86200</v>
      </c>
    </row>
    <row r="297" spans="5:25" ht="15" x14ac:dyDescent="0.25">
      <c r="E297" s="697" t="s">
        <v>498</v>
      </c>
      <c r="F297" s="696">
        <v>29650</v>
      </c>
      <c r="G297" s="696">
        <v>39150</v>
      </c>
      <c r="H297" s="696">
        <v>47450</v>
      </c>
      <c r="I297" s="696">
        <v>62650</v>
      </c>
      <c r="J297" s="814">
        <v>32350</v>
      </c>
      <c r="K297" s="696">
        <v>42750</v>
      </c>
      <c r="L297" s="696">
        <v>51750</v>
      </c>
      <c r="M297" s="696">
        <v>68300</v>
      </c>
      <c r="N297" s="814">
        <v>34250</v>
      </c>
      <c r="O297" s="696">
        <v>45250</v>
      </c>
      <c r="P297" s="696">
        <v>54800</v>
      </c>
      <c r="Q297" s="696">
        <v>72350</v>
      </c>
      <c r="R297" s="814">
        <v>35100</v>
      </c>
      <c r="S297" s="696">
        <v>46350</v>
      </c>
      <c r="T297" s="696">
        <v>56150</v>
      </c>
      <c r="U297" s="696">
        <v>74150</v>
      </c>
      <c r="V297" s="843">
        <v>37100</v>
      </c>
      <c r="W297" s="844">
        <v>49000</v>
      </c>
      <c r="X297" s="844">
        <v>59350</v>
      </c>
      <c r="Y297" s="844">
        <v>78350</v>
      </c>
    </row>
    <row r="298" spans="5:25" ht="15" x14ac:dyDescent="0.25">
      <c r="E298" s="697" t="s">
        <v>499</v>
      </c>
      <c r="F298" s="696">
        <v>29650</v>
      </c>
      <c r="G298" s="696">
        <v>39150</v>
      </c>
      <c r="H298" s="696">
        <v>47450</v>
      </c>
      <c r="I298" s="696">
        <v>62650</v>
      </c>
      <c r="J298" s="814">
        <v>32350</v>
      </c>
      <c r="K298" s="696">
        <v>42750</v>
      </c>
      <c r="L298" s="696">
        <v>51750</v>
      </c>
      <c r="M298" s="696">
        <v>68300</v>
      </c>
      <c r="N298" s="814">
        <v>34250</v>
      </c>
      <c r="O298" s="696">
        <v>45250</v>
      </c>
      <c r="P298" s="696">
        <v>54800</v>
      </c>
      <c r="Q298" s="696">
        <v>72350</v>
      </c>
      <c r="R298" s="814">
        <v>34500</v>
      </c>
      <c r="S298" s="696">
        <v>45550</v>
      </c>
      <c r="T298" s="696">
        <v>55200</v>
      </c>
      <c r="U298" s="696">
        <v>72900</v>
      </c>
      <c r="V298" s="843">
        <v>37100</v>
      </c>
      <c r="W298" s="844">
        <v>49000</v>
      </c>
      <c r="X298" s="844">
        <v>59350</v>
      </c>
      <c r="Y298" s="844">
        <v>78350</v>
      </c>
    </row>
    <row r="299" spans="5:25" ht="15" x14ac:dyDescent="0.25">
      <c r="E299" s="697" t="s">
        <v>500</v>
      </c>
      <c r="F299" s="696">
        <v>29950</v>
      </c>
      <c r="G299" s="696">
        <v>39550</v>
      </c>
      <c r="H299" s="696">
        <v>47900</v>
      </c>
      <c r="I299" s="696">
        <v>63250</v>
      </c>
      <c r="J299" s="814">
        <v>32350</v>
      </c>
      <c r="K299" s="696">
        <v>42750</v>
      </c>
      <c r="L299" s="696">
        <v>51750</v>
      </c>
      <c r="M299" s="696">
        <v>68300</v>
      </c>
      <c r="N299" s="814">
        <v>34250</v>
      </c>
      <c r="O299" s="696">
        <v>45250</v>
      </c>
      <c r="P299" s="696">
        <v>54800</v>
      </c>
      <c r="Q299" s="696">
        <v>72350</v>
      </c>
      <c r="R299" s="814">
        <v>37400</v>
      </c>
      <c r="S299" s="696">
        <v>49400</v>
      </c>
      <c r="T299" s="696">
        <v>59850</v>
      </c>
      <c r="U299" s="696">
        <v>79050</v>
      </c>
      <c r="V299" s="843">
        <v>40850</v>
      </c>
      <c r="W299" s="844">
        <v>53950</v>
      </c>
      <c r="X299" s="844">
        <v>65350</v>
      </c>
      <c r="Y299" s="844">
        <v>86300</v>
      </c>
    </row>
    <row r="300" spans="5:25" ht="15" x14ac:dyDescent="0.25">
      <c r="E300" s="697" t="s">
        <v>501</v>
      </c>
      <c r="F300" s="696">
        <v>37200</v>
      </c>
      <c r="G300" s="696">
        <v>49150</v>
      </c>
      <c r="H300" s="696">
        <v>59500</v>
      </c>
      <c r="I300" s="696">
        <v>78550</v>
      </c>
      <c r="J300" s="814">
        <v>40950</v>
      </c>
      <c r="K300" s="696">
        <v>54100</v>
      </c>
      <c r="L300" s="696">
        <v>65500</v>
      </c>
      <c r="M300" s="696">
        <v>86450</v>
      </c>
      <c r="N300" s="814">
        <v>43000</v>
      </c>
      <c r="O300" s="696">
        <v>56800</v>
      </c>
      <c r="P300" s="696">
        <v>68800</v>
      </c>
      <c r="Q300" s="696">
        <v>90800</v>
      </c>
      <c r="R300" s="814">
        <v>44750</v>
      </c>
      <c r="S300" s="696">
        <v>59100</v>
      </c>
      <c r="T300" s="696">
        <v>71600</v>
      </c>
      <c r="U300" s="696">
        <v>94550</v>
      </c>
      <c r="V300" s="843">
        <v>48850</v>
      </c>
      <c r="W300" s="844">
        <v>64500</v>
      </c>
      <c r="X300" s="844">
        <v>78150</v>
      </c>
      <c r="Y300" s="844">
        <v>103200</v>
      </c>
    </row>
    <row r="301" spans="5:25" ht="15" x14ac:dyDescent="0.25">
      <c r="E301" s="697" t="s">
        <v>502</v>
      </c>
      <c r="F301" s="696">
        <v>30550</v>
      </c>
      <c r="G301" s="696">
        <v>40350</v>
      </c>
      <c r="H301" s="696">
        <v>48900</v>
      </c>
      <c r="I301" s="696">
        <v>64550</v>
      </c>
      <c r="J301" s="814">
        <v>32350</v>
      </c>
      <c r="K301" s="696">
        <v>42750</v>
      </c>
      <c r="L301" s="696">
        <v>51750</v>
      </c>
      <c r="M301" s="696">
        <v>68300</v>
      </c>
      <c r="N301" s="814">
        <v>34250</v>
      </c>
      <c r="O301" s="696">
        <v>45250</v>
      </c>
      <c r="P301" s="696">
        <v>54800</v>
      </c>
      <c r="Q301" s="696">
        <v>72350</v>
      </c>
      <c r="R301" s="814">
        <v>34500</v>
      </c>
      <c r="S301" s="696">
        <v>45550</v>
      </c>
      <c r="T301" s="696">
        <v>55200</v>
      </c>
      <c r="U301" s="696">
        <v>72900</v>
      </c>
      <c r="V301" s="843">
        <v>37100</v>
      </c>
      <c r="W301" s="844">
        <v>49000</v>
      </c>
      <c r="X301" s="844">
        <v>59350</v>
      </c>
      <c r="Y301" s="844">
        <v>78350</v>
      </c>
    </row>
    <row r="302" spans="5:25" ht="15" x14ac:dyDescent="0.25">
      <c r="E302" s="697" t="s">
        <v>503</v>
      </c>
      <c r="F302" s="696">
        <v>33800</v>
      </c>
      <c r="G302" s="696">
        <v>44650</v>
      </c>
      <c r="H302" s="696">
        <v>54100</v>
      </c>
      <c r="I302" s="696">
        <v>71400</v>
      </c>
      <c r="J302" s="814">
        <v>33800</v>
      </c>
      <c r="K302" s="696">
        <v>44650</v>
      </c>
      <c r="L302" s="696">
        <v>54100</v>
      </c>
      <c r="M302" s="696">
        <v>71400</v>
      </c>
      <c r="N302" s="814">
        <v>35400</v>
      </c>
      <c r="O302" s="696">
        <v>46750</v>
      </c>
      <c r="P302" s="696">
        <v>56650</v>
      </c>
      <c r="Q302" s="696">
        <v>74800</v>
      </c>
      <c r="R302" s="814">
        <v>35600</v>
      </c>
      <c r="S302" s="696">
        <v>47000</v>
      </c>
      <c r="T302" s="696">
        <v>56950</v>
      </c>
      <c r="U302" s="696">
        <v>75200</v>
      </c>
      <c r="V302" s="843">
        <v>37250</v>
      </c>
      <c r="W302" s="844">
        <v>49200</v>
      </c>
      <c r="X302" s="844">
        <v>59600</v>
      </c>
      <c r="Y302" s="844">
        <v>78700</v>
      </c>
    </row>
    <row r="303" spans="5:25" ht="15" x14ac:dyDescent="0.25">
      <c r="E303" s="697" t="s">
        <v>504</v>
      </c>
      <c r="F303" s="696">
        <v>30800</v>
      </c>
      <c r="G303" s="696">
        <v>40700</v>
      </c>
      <c r="H303" s="696">
        <v>49300</v>
      </c>
      <c r="I303" s="696">
        <v>65100</v>
      </c>
      <c r="J303" s="814">
        <v>32700</v>
      </c>
      <c r="K303" s="696">
        <v>43200</v>
      </c>
      <c r="L303" s="696">
        <v>52300</v>
      </c>
      <c r="M303" s="696">
        <v>69050</v>
      </c>
      <c r="N303" s="814">
        <v>34600</v>
      </c>
      <c r="O303" s="696">
        <v>45700</v>
      </c>
      <c r="P303" s="696">
        <v>55350</v>
      </c>
      <c r="Q303" s="696">
        <v>73050</v>
      </c>
      <c r="R303" s="814">
        <v>38050</v>
      </c>
      <c r="S303" s="696">
        <v>50250</v>
      </c>
      <c r="T303" s="696">
        <v>60850</v>
      </c>
      <c r="U303" s="696">
        <v>80350</v>
      </c>
      <c r="V303" s="843">
        <v>41550</v>
      </c>
      <c r="W303" s="844">
        <v>54850</v>
      </c>
      <c r="X303" s="844">
        <v>66450</v>
      </c>
      <c r="Y303" s="844">
        <v>87750</v>
      </c>
    </row>
    <row r="304" spans="5:25" ht="15" x14ac:dyDescent="0.25">
      <c r="E304" s="697" t="s">
        <v>505</v>
      </c>
      <c r="F304" s="696">
        <v>29650</v>
      </c>
      <c r="G304" s="696">
        <v>39150</v>
      </c>
      <c r="H304" s="696">
        <v>47450</v>
      </c>
      <c r="I304" s="696">
        <v>62650</v>
      </c>
      <c r="J304" s="814">
        <v>32350</v>
      </c>
      <c r="K304" s="696">
        <v>42750</v>
      </c>
      <c r="L304" s="696">
        <v>51750</v>
      </c>
      <c r="M304" s="696">
        <v>68300</v>
      </c>
      <c r="N304" s="814">
        <v>34250</v>
      </c>
      <c r="O304" s="696">
        <v>45250</v>
      </c>
      <c r="P304" s="696">
        <v>54800</v>
      </c>
      <c r="Q304" s="696">
        <v>72350</v>
      </c>
      <c r="R304" s="814">
        <v>34500</v>
      </c>
      <c r="S304" s="696">
        <v>45550</v>
      </c>
      <c r="T304" s="696">
        <v>55200</v>
      </c>
      <c r="U304" s="696">
        <v>72900</v>
      </c>
      <c r="V304" s="843">
        <v>37100</v>
      </c>
      <c r="W304" s="844">
        <v>49000</v>
      </c>
      <c r="X304" s="844">
        <v>59350</v>
      </c>
      <c r="Y304" s="844">
        <v>78350</v>
      </c>
    </row>
    <row r="305" spans="5:25" ht="15" x14ac:dyDescent="0.25">
      <c r="E305" s="697" t="s">
        <v>506</v>
      </c>
      <c r="F305" s="696">
        <v>36000</v>
      </c>
      <c r="G305" s="696">
        <v>47550</v>
      </c>
      <c r="H305" s="696">
        <v>57600</v>
      </c>
      <c r="I305" s="696">
        <v>76050</v>
      </c>
      <c r="J305" s="814">
        <v>40250</v>
      </c>
      <c r="K305" s="696">
        <v>53150</v>
      </c>
      <c r="L305" s="696">
        <v>64400</v>
      </c>
      <c r="M305" s="696">
        <v>85000</v>
      </c>
      <c r="N305" s="814">
        <v>42600</v>
      </c>
      <c r="O305" s="696">
        <v>56250</v>
      </c>
      <c r="P305" s="696">
        <v>68150</v>
      </c>
      <c r="Q305" s="696">
        <v>89950</v>
      </c>
      <c r="R305" s="814">
        <v>43300</v>
      </c>
      <c r="S305" s="696">
        <v>57200</v>
      </c>
      <c r="T305" s="696">
        <v>69300</v>
      </c>
      <c r="U305" s="696">
        <v>91500</v>
      </c>
      <c r="V305" s="843">
        <v>45150</v>
      </c>
      <c r="W305" s="844">
        <v>59600</v>
      </c>
      <c r="X305" s="844">
        <v>72250</v>
      </c>
      <c r="Y305" s="844">
        <v>95400</v>
      </c>
    </row>
    <row r="306" spans="5:25" ht="15" x14ac:dyDescent="0.25">
      <c r="E306" s="697" t="s">
        <v>507</v>
      </c>
      <c r="F306" s="696">
        <v>30400</v>
      </c>
      <c r="G306" s="696">
        <v>40150</v>
      </c>
      <c r="H306" s="696">
        <v>48650</v>
      </c>
      <c r="I306" s="696">
        <v>64200</v>
      </c>
      <c r="J306" s="814">
        <v>34000</v>
      </c>
      <c r="K306" s="696">
        <v>44900</v>
      </c>
      <c r="L306" s="696">
        <v>54400</v>
      </c>
      <c r="M306" s="696">
        <v>71800</v>
      </c>
      <c r="N306" s="814">
        <v>36000</v>
      </c>
      <c r="O306" s="696">
        <v>47550</v>
      </c>
      <c r="P306" s="696">
        <v>57600</v>
      </c>
      <c r="Q306" s="696">
        <v>76050</v>
      </c>
      <c r="R306" s="814">
        <v>39600</v>
      </c>
      <c r="S306" s="696">
        <v>52300</v>
      </c>
      <c r="T306" s="696">
        <v>63350</v>
      </c>
      <c r="U306" s="696">
        <v>83650</v>
      </c>
      <c r="V306" s="843">
        <v>41650</v>
      </c>
      <c r="W306" s="844">
        <v>55000</v>
      </c>
      <c r="X306" s="844">
        <v>66650</v>
      </c>
      <c r="Y306" s="844">
        <v>88000</v>
      </c>
    </row>
    <row r="307" spans="5:25" ht="15" x14ac:dyDescent="0.25">
      <c r="E307" s="697" t="s">
        <v>508</v>
      </c>
      <c r="F307" s="696">
        <v>29650</v>
      </c>
      <c r="G307" s="696">
        <v>39150</v>
      </c>
      <c r="H307" s="696">
        <v>47450</v>
      </c>
      <c r="I307" s="696">
        <v>62650</v>
      </c>
      <c r="J307" s="814">
        <v>32350</v>
      </c>
      <c r="K307" s="696">
        <v>42750</v>
      </c>
      <c r="L307" s="696">
        <v>51750</v>
      </c>
      <c r="M307" s="696">
        <v>68300</v>
      </c>
      <c r="N307" s="814">
        <v>34250</v>
      </c>
      <c r="O307" s="696">
        <v>45250</v>
      </c>
      <c r="P307" s="696">
        <v>54800</v>
      </c>
      <c r="Q307" s="696">
        <v>72350</v>
      </c>
      <c r="R307" s="814">
        <v>35250</v>
      </c>
      <c r="S307" s="696">
        <v>46550</v>
      </c>
      <c r="T307" s="696">
        <v>56400</v>
      </c>
      <c r="U307" s="696">
        <v>74450</v>
      </c>
      <c r="V307" s="843">
        <v>37350</v>
      </c>
      <c r="W307" s="844">
        <v>49350</v>
      </c>
      <c r="X307" s="844">
        <v>59750</v>
      </c>
      <c r="Y307" s="844">
        <v>78900</v>
      </c>
    </row>
    <row r="308" spans="5:25" ht="15" x14ac:dyDescent="0.25">
      <c r="E308" s="697" t="s">
        <v>509</v>
      </c>
      <c r="F308" s="696">
        <v>32650</v>
      </c>
      <c r="G308" s="696">
        <v>43100</v>
      </c>
      <c r="H308" s="696">
        <v>52250</v>
      </c>
      <c r="I308" s="696">
        <v>68950</v>
      </c>
      <c r="J308" s="814">
        <v>36350</v>
      </c>
      <c r="K308" s="696">
        <v>48000</v>
      </c>
      <c r="L308" s="696">
        <v>58150</v>
      </c>
      <c r="M308" s="696">
        <v>76750</v>
      </c>
      <c r="N308" s="814">
        <v>36650</v>
      </c>
      <c r="O308" s="696">
        <v>48400</v>
      </c>
      <c r="P308" s="696">
        <v>58650</v>
      </c>
      <c r="Q308" s="696">
        <v>77400</v>
      </c>
      <c r="R308" s="814">
        <v>37950</v>
      </c>
      <c r="S308" s="696">
        <v>50100</v>
      </c>
      <c r="T308" s="696">
        <v>60700</v>
      </c>
      <c r="U308" s="696">
        <v>80150</v>
      </c>
      <c r="V308" s="843">
        <v>38650</v>
      </c>
      <c r="W308" s="844">
        <v>51050</v>
      </c>
      <c r="X308" s="844">
        <v>61850</v>
      </c>
      <c r="Y308" s="844">
        <v>81650</v>
      </c>
    </row>
    <row r="309" spans="5:25" ht="15" x14ac:dyDescent="0.25">
      <c r="E309" s="697" t="s">
        <v>510</v>
      </c>
      <c r="F309" s="696">
        <v>36300</v>
      </c>
      <c r="G309" s="696">
        <v>47950</v>
      </c>
      <c r="H309" s="696">
        <v>58100</v>
      </c>
      <c r="I309" s="696">
        <v>76700</v>
      </c>
      <c r="J309" s="814">
        <v>37100</v>
      </c>
      <c r="K309" s="696">
        <v>49000</v>
      </c>
      <c r="L309" s="696">
        <v>59350</v>
      </c>
      <c r="M309" s="696">
        <v>78350</v>
      </c>
      <c r="N309" s="814">
        <v>38350</v>
      </c>
      <c r="O309" s="696">
        <v>50650</v>
      </c>
      <c r="P309" s="696">
        <v>61350</v>
      </c>
      <c r="Q309" s="696">
        <v>81000</v>
      </c>
      <c r="R309" s="814">
        <v>39500</v>
      </c>
      <c r="S309" s="696">
        <v>52150</v>
      </c>
      <c r="T309" s="696">
        <v>63200</v>
      </c>
      <c r="U309" s="696">
        <v>83450</v>
      </c>
      <c r="V309" s="843">
        <v>39500</v>
      </c>
      <c r="W309" s="844">
        <v>52150</v>
      </c>
      <c r="X309" s="844">
        <v>63200</v>
      </c>
      <c r="Y309" s="844">
        <v>83450</v>
      </c>
    </row>
    <row r="310" spans="5:25" ht="15" x14ac:dyDescent="0.25">
      <c r="E310" s="697" t="s">
        <v>511</v>
      </c>
      <c r="F310" s="696">
        <v>34200</v>
      </c>
      <c r="G310" s="696">
        <v>45150</v>
      </c>
      <c r="H310" s="696">
        <v>54700</v>
      </c>
      <c r="I310" s="696">
        <v>72200</v>
      </c>
      <c r="J310" s="814">
        <v>37150</v>
      </c>
      <c r="K310" s="696">
        <v>49050</v>
      </c>
      <c r="L310" s="696">
        <v>59450</v>
      </c>
      <c r="M310" s="696">
        <v>78450</v>
      </c>
      <c r="N310" s="814">
        <v>39300</v>
      </c>
      <c r="O310" s="696">
        <v>51900</v>
      </c>
      <c r="P310" s="696">
        <v>62900</v>
      </c>
      <c r="Q310" s="696">
        <v>83050</v>
      </c>
      <c r="R310" s="814">
        <v>42000</v>
      </c>
      <c r="S310" s="696">
        <v>55450</v>
      </c>
      <c r="T310" s="696">
        <v>67200</v>
      </c>
      <c r="U310" s="696">
        <v>88750</v>
      </c>
      <c r="V310" s="843">
        <v>44600</v>
      </c>
      <c r="W310" s="844">
        <v>58900</v>
      </c>
      <c r="X310" s="844">
        <v>71350</v>
      </c>
      <c r="Y310" s="844">
        <v>94200</v>
      </c>
    </row>
    <row r="311" spans="5:25" ht="15" x14ac:dyDescent="0.25">
      <c r="E311" s="697" t="s">
        <v>512</v>
      </c>
      <c r="F311" s="696">
        <v>29650</v>
      </c>
      <c r="G311" s="696">
        <v>39150</v>
      </c>
      <c r="H311" s="696">
        <v>47450</v>
      </c>
      <c r="I311" s="696">
        <v>62650</v>
      </c>
      <c r="J311" s="814">
        <v>32350</v>
      </c>
      <c r="K311" s="696">
        <v>42750</v>
      </c>
      <c r="L311" s="696">
        <v>51750</v>
      </c>
      <c r="M311" s="696">
        <v>68300</v>
      </c>
      <c r="N311" s="814">
        <v>34250</v>
      </c>
      <c r="O311" s="696">
        <v>45250</v>
      </c>
      <c r="P311" s="696">
        <v>54800</v>
      </c>
      <c r="Q311" s="696">
        <v>72350</v>
      </c>
      <c r="R311" s="814">
        <v>34500</v>
      </c>
      <c r="S311" s="696">
        <v>45550</v>
      </c>
      <c r="T311" s="696">
        <v>55200</v>
      </c>
      <c r="U311" s="696">
        <v>72900</v>
      </c>
      <c r="V311" s="843">
        <v>37650</v>
      </c>
      <c r="W311" s="844">
        <v>49700</v>
      </c>
      <c r="X311" s="844">
        <v>60250</v>
      </c>
      <c r="Y311" s="844">
        <v>79550</v>
      </c>
    </row>
    <row r="312" spans="5:25" ht="15" x14ac:dyDescent="0.25">
      <c r="E312" s="697" t="s">
        <v>513</v>
      </c>
      <c r="F312" s="696">
        <v>36350</v>
      </c>
      <c r="G312" s="696">
        <v>48000</v>
      </c>
      <c r="H312" s="696">
        <v>58150</v>
      </c>
      <c r="I312" s="696">
        <v>76750</v>
      </c>
      <c r="J312" s="814">
        <v>40500</v>
      </c>
      <c r="K312" s="696">
        <v>53500</v>
      </c>
      <c r="L312" s="696">
        <v>64800</v>
      </c>
      <c r="M312" s="696">
        <v>85550</v>
      </c>
      <c r="N312" s="814">
        <v>42850</v>
      </c>
      <c r="O312" s="696">
        <v>56600</v>
      </c>
      <c r="P312" s="696">
        <v>68550</v>
      </c>
      <c r="Q312" s="696">
        <v>90500</v>
      </c>
      <c r="R312" s="814">
        <v>45750</v>
      </c>
      <c r="S312" s="696">
        <v>60400</v>
      </c>
      <c r="T312" s="696">
        <v>73200</v>
      </c>
      <c r="U312" s="696">
        <v>96650</v>
      </c>
      <c r="V312" s="843">
        <v>48400</v>
      </c>
      <c r="W312" s="844">
        <v>63900</v>
      </c>
      <c r="X312" s="844">
        <v>77450</v>
      </c>
      <c r="Y312" s="844">
        <v>102250</v>
      </c>
    </row>
    <row r="313" spans="5:25" ht="15" x14ac:dyDescent="0.25">
      <c r="E313" s="697" t="s">
        <v>514</v>
      </c>
      <c r="F313" s="696">
        <v>35300</v>
      </c>
      <c r="G313" s="696">
        <v>46600</v>
      </c>
      <c r="H313" s="696">
        <v>56500</v>
      </c>
      <c r="I313" s="696">
        <v>74600</v>
      </c>
      <c r="J313" s="814">
        <v>39050</v>
      </c>
      <c r="K313" s="696">
        <v>51550</v>
      </c>
      <c r="L313" s="696">
        <v>62500</v>
      </c>
      <c r="M313" s="696">
        <v>82500</v>
      </c>
      <c r="N313" s="814">
        <v>39600</v>
      </c>
      <c r="O313" s="696">
        <v>52300</v>
      </c>
      <c r="P313" s="696">
        <v>63350</v>
      </c>
      <c r="Q313" s="696">
        <v>83600</v>
      </c>
      <c r="R313" s="814">
        <v>42050</v>
      </c>
      <c r="S313" s="696">
        <v>55550</v>
      </c>
      <c r="T313" s="696">
        <v>67300</v>
      </c>
      <c r="U313" s="696">
        <v>88850</v>
      </c>
      <c r="V313" s="843">
        <v>43950</v>
      </c>
      <c r="W313" s="844">
        <v>58050</v>
      </c>
      <c r="X313" s="844">
        <v>70300</v>
      </c>
      <c r="Y313" s="844">
        <v>92800</v>
      </c>
    </row>
    <row r="314" spans="5:25" ht="15" x14ac:dyDescent="0.25">
      <c r="E314" s="697" t="s">
        <v>515</v>
      </c>
      <c r="F314" s="696">
        <v>29650</v>
      </c>
      <c r="G314" s="696">
        <v>39150</v>
      </c>
      <c r="H314" s="696">
        <v>47450</v>
      </c>
      <c r="I314" s="696">
        <v>62650</v>
      </c>
      <c r="J314" s="814">
        <v>32350</v>
      </c>
      <c r="K314" s="696">
        <v>42750</v>
      </c>
      <c r="L314" s="696">
        <v>51750</v>
      </c>
      <c r="M314" s="696">
        <v>68300</v>
      </c>
      <c r="N314" s="814">
        <v>34250</v>
      </c>
      <c r="O314" s="696">
        <v>45250</v>
      </c>
      <c r="P314" s="696">
        <v>54800</v>
      </c>
      <c r="Q314" s="696">
        <v>72350</v>
      </c>
      <c r="R314" s="814">
        <v>34500</v>
      </c>
      <c r="S314" s="696">
        <v>45550</v>
      </c>
      <c r="T314" s="696">
        <v>55200</v>
      </c>
      <c r="U314" s="696">
        <v>72900</v>
      </c>
      <c r="V314" s="843">
        <v>37650</v>
      </c>
      <c r="W314" s="844">
        <v>49700</v>
      </c>
      <c r="X314" s="844">
        <v>60250</v>
      </c>
      <c r="Y314" s="844">
        <v>79550</v>
      </c>
    </row>
    <row r="315" spans="5:25" ht="15" x14ac:dyDescent="0.25">
      <c r="E315" s="697" t="s">
        <v>516</v>
      </c>
      <c r="F315" s="696">
        <v>29650</v>
      </c>
      <c r="G315" s="696">
        <v>39150</v>
      </c>
      <c r="H315" s="696">
        <v>47450</v>
      </c>
      <c r="I315" s="696">
        <v>62650</v>
      </c>
      <c r="J315" s="814">
        <v>33150</v>
      </c>
      <c r="K315" s="696">
        <v>43800</v>
      </c>
      <c r="L315" s="696">
        <v>53050</v>
      </c>
      <c r="M315" s="696">
        <v>70050</v>
      </c>
      <c r="N315" s="814">
        <v>35100</v>
      </c>
      <c r="O315" s="696">
        <v>46350</v>
      </c>
      <c r="P315" s="696">
        <v>56150</v>
      </c>
      <c r="Q315" s="696">
        <v>74100</v>
      </c>
      <c r="R315" s="814">
        <v>35100</v>
      </c>
      <c r="S315" s="696">
        <v>46350</v>
      </c>
      <c r="T315" s="696">
        <v>56150</v>
      </c>
      <c r="U315" s="696">
        <v>74150</v>
      </c>
      <c r="V315" s="843">
        <v>37100</v>
      </c>
      <c r="W315" s="844">
        <v>49000</v>
      </c>
      <c r="X315" s="844">
        <v>59350</v>
      </c>
      <c r="Y315" s="844">
        <v>78350</v>
      </c>
    </row>
    <row r="316" spans="5:25" ht="15" x14ac:dyDescent="0.25">
      <c r="E316" s="697" t="s">
        <v>517</v>
      </c>
      <c r="F316" s="696">
        <v>34650</v>
      </c>
      <c r="G316" s="696">
        <v>45750</v>
      </c>
      <c r="H316" s="696">
        <v>55450</v>
      </c>
      <c r="I316" s="696">
        <v>73200</v>
      </c>
      <c r="J316" s="814">
        <v>37400</v>
      </c>
      <c r="K316" s="696">
        <v>49400</v>
      </c>
      <c r="L316" s="696">
        <v>59850</v>
      </c>
      <c r="M316" s="696">
        <v>79000</v>
      </c>
      <c r="N316" s="814">
        <v>37700</v>
      </c>
      <c r="O316" s="696">
        <v>49800</v>
      </c>
      <c r="P316" s="696">
        <v>60300</v>
      </c>
      <c r="Q316" s="696">
        <v>79600</v>
      </c>
      <c r="R316" s="814">
        <v>37700</v>
      </c>
      <c r="S316" s="696">
        <v>49800</v>
      </c>
      <c r="T316" s="696">
        <v>60300</v>
      </c>
      <c r="U316" s="696">
        <v>79600</v>
      </c>
      <c r="V316" s="843">
        <v>39700</v>
      </c>
      <c r="W316" s="844">
        <v>52450</v>
      </c>
      <c r="X316" s="844">
        <v>63500</v>
      </c>
      <c r="Y316" s="844">
        <v>83850</v>
      </c>
    </row>
    <row r="317" spans="5:25" ht="15" x14ac:dyDescent="0.25">
      <c r="E317" s="697" t="s">
        <v>518</v>
      </c>
      <c r="F317" s="696">
        <v>29650</v>
      </c>
      <c r="G317" s="696">
        <v>39150</v>
      </c>
      <c r="H317" s="696">
        <v>47450</v>
      </c>
      <c r="I317" s="696">
        <v>62650</v>
      </c>
      <c r="J317" s="814">
        <v>32350</v>
      </c>
      <c r="K317" s="696">
        <v>42750</v>
      </c>
      <c r="L317" s="696">
        <v>51750</v>
      </c>
      <c r="M317" s="696">
        <v>68300</v>
      </c>
      <c r="N317" s="814">
        <v>34250</v>
      </c>
      <c r="O317" s="696">
        <v>45250</v>
      </c>
      <c r="P317" s="696">
        <v>54800</v>
      </c>
      <c r="Q317" s="696">
        <v>72350</v>
      </c>
      <c r="R317" s="814">
        <v>34500</v>
      </c>
      <c r="S317" s="696">
        <v>45550</v>
      </c>
      <c r="T317" s="696">
        <v>55200</v>
      </c>
      <c r="U317" s="696">
        <v>72900</v>
      </c>
      <c r="V317" s="843">
        <v>37100</v>
      </c>
      <c r="W317" s="844">
        <v>49000</v>
      </c>
      <c r="X317" s="844">
        <v>59350</v>
      </c>
      <c r="Y317" s="844">
        <v>78350</v>
      </c>
    </row>
    <row r="318" spans="5:25" ht="15" x14ac:dyDescent="0.25">
      <c r="E318" s="697" t="s">
        <v>519</v>
      </c>
      <c r="F318" s="696">
        <v>29650</v>
      </c>
      <c r="G318" s="696">
        <v>39150</v>
      </c>
      <c r="H318" s="696">
        <v>47450</v>
      </c>
      <c r="I318" s="696">
        <v>62650</v>
      </c>
      <c r="J318" s="814">
        <v>32350</v>
      </c>
      <c r="K318" s="696">
        <v>42750</v>
      </c>
      <c r="L318" s="696">
        <v>51750</v>
      </c>
      <c r="M318" s="696">
        <v>68300</v>
      </c>
      <c r="N318" s="814">
        <v>34250</v>
      </c>
      <c r="O318" s="696">
        <v>45250</v>
      </c>
      <c r="P318" s="696">
        <v>54800</v>
      </c>
      <c r="Q318" s="696">
        <v>72350</v>
      </c>
      <c r="R318" s="814">
        <v>34500</v>
      </c>
      <c r="S318" s="696">
        <v>45550</v>
      </c>
      <c r="T318" s="696">
        <v>55200</v>
      </c>
      <c r="U318" s="696">
        <v>72900</v>
      </c>
      <c r="V318" s="843">
        <v>37100</v>
      </c>
      <c r="W318" s="844">
        <v>49000</v>
      </c>
      <c r="X318" s="844">
        <v>59350</v>
      </c>
      <c r="Y318" s="844">
        <v>78350</v>
      </c>
    </row>
    <row r="319" spans="5:25" ht="15" x14ac:dyDescent="0.25">
      <c r="E319" s="697" t="s">
        <v>520</v>
      </c>
      <c r="F319" s="696">
        <v>29650</v>
      </c>
      <c r="G319" s="696">
        <v>39150</v>
      </c>
      <c r="H319" s="696">
        <v>47450</v>
      </c>
      <c r="I319" s="696">
        <v>62650</v>
      </c>
      <c r="J319" s="814">
        <v>33150</v>
      </c>
      <c r="K319" s="696">
        <v>43800</v>
      </c>
      <c r="L319" s="696">
        <v>53050</v>
      </c>
      <c r="M319" s="696">
        <v>70050</v>
      </c>
      <c r="N319" s="814">
        <v>35100</v>
      </c>
      <c r="O319" s="696">
        <v>46350</v>
      </c>
      <c r="P319" s="696">
        <v>56150</v>
      </c>
      <c r="Q319" s="696">
        <v>74100</v>
      </c>
      <c r="R319" s="814">
        <v>38600</v>
      </c>
      <c r="S319" s="696">
        <v>50950</v>
      </c>
      <c r="T319" s="696">
        <v>61750</v>
      </c>
      <c r="U319" s="696">
        <v>81550</v>
      </c>
      <c r="V319" s="843">
        <v>42150</v>
      </c>
      <c r="W319" s="844">
        <v>55650</v>
      </c>
      <c r="X319" s="844">
        <v>67450</v>
      </c>
      <c r="Y319" s="844">
        <v>89050</v>
      </c>
    </row>
    <row r="320" spans="5:25" ht="15" x14ac:dyDescent="0.25">
      <c r="E320" s="697" t="s">
        <v>521</v>
      </c>
      <c r="F320" s="696">
        <v>29650</v>
      </c>
      <c r="G320" s="696">
        <v>39150</v>
      </c>
      <c r="H320" s="696">
        <v>47450</v>
      </c>
      <c r="I320" s="696">
        <v>62650</v>
      </c>
      <c r="J320" s="814">
        <v>32350</v>
      </c>
      <c r="K320" s="696">
        <v>42750</v>
      </c>
      <c r="L320" s="696">
        <v>51750</v>
      </c>
      <c r="M320" s="696">
        <v>68300</v>
      </c>
      <c r="N320" s="814">
        <v>34250</v>
      </c>
      <c r="O320" s="696">
        <v>45250</v>
      </c>
      <c r="P320" s="696">
        <v>54800</v>
      </c>
      <c r="Q320" s="696">
        <v>72350</v>
      </c>
      <c r="R320" s="814">
        <v>34500</v>
      </c>
      <c r="S320" s="696">
        <v>45550</v>
      </c>
      <c r="T320" s="696">
        <v>55200</v>
      </c>
      <c r="U320" s="696">
        <v>72900</v>
      </c>
      <c r="V320" s="843">
        <v>37100</v>
      </c>
      <c r="W320" s="844">
        <v>49000</v>
      </c>
      <c r="X320" s="844">
        <v>59350</v>
      </c>
      <c r="Y320" s="844">
        <v>78350</v>
      </c>
    </row>
    <row r="321" spans="5:25" ht="15" x14ac:dyDescent="0.25">
      <c r="E321" s="697" t="s">
        <v>522</v>
      </c>
      <c r="F321" s="696">
        <v>29650</v>
      </c>
      <c r="G321" s="696">
        <v>39150</v>
      </c>
      <c r="H321" s="696">
        <v>47450</v>
      </c>
      <c r="I321" s="696">
        <v>62650</v>
      </c>
      <c r="J321" s="814">
        <v>32350</v>
      </c>
      <c r="K321" s="696">
        <v>42750</v>
      </c>
      <c r="L321" s="696">
        <v>51750</v>
      </c>
      <c r="M321" s="696">
        <v>68300</v>
      </c>
      <c r="N321" s="814">
        <v>34250</v>
      </c>
      <c r="O321" s="696">
        <v>45250</v>
      </c>
      <c r="P321" s="696">
        <v>54800</v>
      </c>
      <c r="Q321" s="696">
        <v>72350</v>
      </c>
      <c r="R321" s="814">
        <v>34500</v>
      </c>
      <c r="S321" s="696">
        <v>45550</v>
      </c>
      <c r="T321" s="696">
        <v>55200</v>
      </c>
      <c r="U321" s="696">
        <v>72900</v>
      </c>
      <c r="V321" s="843">
        <v>37100</v>
      </c>
      <c r="W321" s="844">
        <v>49000</v>
      </c>
      <c r="X321" s="844">
        <v>59350</v>
      </c>
      <c r="Y321" s="844">
        <v>78350</v>
      </c>
    </row>
    <row r="322" spans="5:25" ht="15" x14ac:dyDescent="0.25">
      <c r="E322" s="697" t="s">
        <v>523</v>
      </c>
      <c r="F322" s="696">
        <v>29650</v>
      </c>
      <c r="G322" s="696">
        <v>39150</v>
      </c>
      <c r="H322" s="696">
        <v>47450</v>
      </c>
      <c r="I322" s="696">
        <v>62650</v>
      </c>
      <c r="J322" s="814">
        <v>32350</v>
      </c>
      <c r="K322" s="696">
        <v>42750</v>
      </c>
      <c r="L322" s="696">
        <v>51750</v>
      </c>
      <c r="M322" s="696">
        <v>68300</v>
      </c>
      <c r="N322" s="814">
        <v>34250</v>
      </c>
      <c r="O322" s="696">
        <v>45250</v>
      </c>
      <c r="P322" s="696">
        <v>54800</v>
      </c>
      <c r="Q322" s="696">
        <v>72350</v>
      </c>
      <c r="R322" s="814">
        <v>34850</v>
      </c>
      <c r="S322" s="696">
        <v>46050</v>
      </c>
      <c r="T322" s="696">
        <v>55750</v>
      </c>
      <c r="U322" s="696">
        <v>73600</v>
      </c>
      <c r="V322" s="843">
        <v>37750</v>
      </c>
      <c r="W322" s="844">
        <v>49850</v>
      </c>
      <c r="X322" s="844">
        <v>60400</v>
      </c>
      <c r="Y322" s="844">
        <v>79750</v>
      </c>
    </row>
    <row r="323" spans="5:25" ht="15" x14ac:dyDescent="0.25">
      <c r="E323" s="697" t="s">
        <v>524</v>
      </c>
      <c r="F323" s="696">
        <v>37750</v>
      </c>
      <c r="G323" s="696">
        <v>49850</v>
      </c>
      <c r="H323" s="696">
        <v>60400</v>
      </c>
      <c r="I323" s="696">
        <v>79750</v>
      </c>
      <c r="J323" s="814">
        <v>37750</v>
      </c>
      <c r="K323" s="696">
        <v>49850</v>
      </c>
      <c r="L323" s="696">
        <v>60400</v>
      </c>
      <c r="M323" s="696">
        <v>79750</v>
      </c>
      <c r="N323" s="814">
        <v>39050</v>
      </c>
      <c r="O323" s="696">
        <v>51550</v>
      </c>
      <c r="P323" s="696">
        <v>62500</v>
      </c>
      <c r="Q323" s="696">
        <v>82500</v>
      </c>
      <c r="R323" s="814">
        <v>39050</v>
      </c>
      <c r="S323" s="696">
        <v>51550</v>
      </c>
      <c r="T323" s="696">
        <v>62500</v>
      </c>
      <c r="U323" s="696">
        <v>82500</v>
      </c>
      <c r="V323" s="843">
        <v>42500</v>
      </c>
      <c r="W323" s="844">
        <v>56100</v>
      </c>
      <c r="X323" s="844">
        <v>68000</v>
      </c>
      <c r="Y323" s="844">
        <v>89800</v>
      </c>
    </row>
    <row r="324" spans="5:25" ht="15" x14ac:dyDescent="0.25">
      <c r="E324" s="697" t="s">
        <v>525</v>
      </c>
      <c r="F324" s="696">
        <v>29650</v>
      </c>
      <c r="G324" s="696">
        <v>39150</v>
      </c>
      <c r="H324" s="696">
        <v>47450</v>
      </c>
      <c r="I324" s="696">
        <v>62650</v>
      </c>
      <c r="J324" s="814">
        <v>32350</v>
      </c>
      <c r="K324" s="696">
        <v>42750</v>
      </c>
      <c r="L324" s="696">
        <v>51750</v>
      </c>
      <c r="M324" s="696">
        <v>68300</v>
      </c>
      <c r="N324" s="814">
        <v>34250</v>
      </c>
      <c r="O324" s="696">
        <v>45250</v>
      </c>
      <c r="P324" s="696">
        <v>54800</v>
      </c>
      <c r="Q324" s="696">
        <v>72350</v>
      </c>
      <c r="R324" s="814">
        <v>34500</v>
      </c>
      <c r="S324" s="696">
        <v>45550</v>
      </c>
      <c r="T324" s="696">
        <v>55200</v>
      </c>
      <c r="U324" s="696">
        <v>72900</v>
      </c>
      <c r="V324" s="843">
        <v>37100</v>
      </c>
      <c r="W324" s="844">
        <v>49000</v>
      </c>
      <c r="X324" s="844">
        <v>59350</v>
      </c>
      <c r="Y324" s="844">
        <v>78350</v>
      </c>
    </row>
    <row r="325" spans="5:25" ht="15" x14ac:dyDescent="0.25">
      <c r="E325" s="697" t="s">
        <v>526</v>
      </c>
      <c r="F325" s="696">
        <v>29650</v>
      </c>
      <c r="G325" s="696">
        <v>39150</v>
      </c>
      <c r="H325" s="696">
        <v>47450</v>
      </c>
      <c r="I325" s="696">
        <v>62650</v>
      </c>
      <c r="J325" s="814">
        <v>32350</v>
      </c>
      <c r="K325" s="696">
        <v>42750</v>
      </c>
      <c r="L325" s="696">
        <v>51750</v>
      </c>
      <c r="M325" s="696">
        <v>68300</v>
      </c>
      <c r="N325" s="814">
        <v>34250</v>
      </c>
      <c r="O325" s="696">
        <v>45250</v>
      </c>
      <c r="P325" s="696">
        <v>54800</v>
      </c>
      <c r="Q325" s="696">
        <v>72350</v>
      </c>
      <c r="R325" s="814">
        <v>34500</v>
      </c>
      <c r="S325" s="696">
        <v>45550</v>
      </c>
      <c r="T325" s="696">
        <v>55200</v>
      </c>
      <c r="U325" s="696">
        <v>72900</v>
      </c>
      <c r="V325" s="843">
        <v>37100</v>
      </c>
      <c r="W325" s="844">
        <v>49000</v>
      </c>
      <c r="X325" s="844">
        <v>59350</v>
      </c>
      <c r="Y325" s="844">
        <v>78350</v>
      </c>
    </row>
    <row r="326" spans="5:25" ht="15" x14ac:dyDescent="0.25">
      <c r="E326" s="697" t="s">
        <v>527</v>
      </c>
      <c r="F326" s="696">
        <v>29650</v>
      </c>
      <c r="G326" s="696">
        <v>39150</v>
      </c>
      <c r="H326" s="696">
        <v>47450</v>
      </c>
      <c r="I326" s="696">
        <v>62650</v>
      </c>
      <c r="J326" s="814">
        <v>32350</v>
      </c>
      <c r="K326" s="696">
        <v>42750</v>
      </c>
      <c r="L326" s="696">
        <v>51750</v>
      </c>
      <c r="M326" s="696">
        <v>68300</v>
      </c>
      <c r="N326" s="814">
        <v>34250</v>
      </c>
      <c r="O326" s="696">
        <v>45250</v>
      </c>
      <c r="P326" s="696">
        <v>54800</v>
      </c>
      <c r="Q326" s="696">
        <v>72350</v>
      </c>
      <c r="R326" s="814">
        <v>34500</v>
      </c>
      <c r="S326" s="696">
        <v>45550</v>
      </c>
      <c r="T326" s="696">
        <v>55200</v>
      </c>
      <c r="U326" s="696">
        <v>72900</v>
      </c>
      <c r="V326" s="843">
        <v>37100</v>
      </c>
      <c r="W326" s="844">
        <v>49000</v>
      </c>
      <c r="X326" s="844">
        <v>59350</v>
      </c>
      <c r="Y326" s="844">
        <v>78350</v>
      </c>
    </row>
    <row r="327" spans="5:25" ht="15" x14ac:dyDescent="0.25">
      <c r="E327" s="697" t="s">
        <v>528</v>
      </c>
      <c r="F327" s="696">
        <v>32100</v>
      </c>
      <c r="G327" s="696">
        <v>42400</v>
      </c>
      <c r="H327" s="696">
        <v>51350</v>
      </c>
      <c r="I327" s="696">
        <v>67800</v>
      </c>
      <c r="J327" s="814">
        <v>35350</v>
      </c>
      <c r="K327" s="696">
        <v>46700</v>
      </c>
      <c r="L327" s="696">
        <v>56550</v>
      </c>
      <c r="M327" s="696">
        <v>74650</v>
      </c>
      <c r="N327" s="814">
        <v>37400</v>
      </c>
      <c r="O327" s="696">
        <v>49400</v>
      </c>
      <c r="P327" s="696">
        <v>59850</v>
      </c>
      <c r="Q327" s="696">
        <v>79000</v>
      </c>
      <c r="R327" s="814">
        <v>37950</v>
      </c>
      <c r="S327" s="696">
        <v>50100</v>
      </c>
      <c r="T327" s="696">
        <v>60700</v>
      </c>
      <c r="U327" s="696">
        <v>80150</v>
      </c>
      <c r="V327" s="843">
        <v>38750</v>
      </c>
      <c r="W327" s="844">
        <v>51150</v>
      </c>
      <c r="X327" s="844">
        <v>62000</v>
      </c>
      <c r="Y327" s="844">
        <v>81850</v>
      </c>
    </row>
    <row r="328" spans="5:25" ht="15" x14ac:dyDescent="0.25">
      <c r="E328" s="697" t="s">
        <v>529</v>
      </c>
      <c r="F328" s="696">
        <v>37200</v>
      </c>
      <c r="G328" s="696">
        <v>49150</v>
      </c>
      <c r="H328" s="696">
        <v>59500</v>
      </c>
      <c r="I328" s="696">
        <v>78550</v>
      </c>
      <c r="J328" s="814">
        <v>40950</v>
      </c>
      <c r="K328" s="696">
        <v>54100</v>
      </c>
      <c r="L328" s="696">
        <v>65500</v>
      </c>
      <c r="M328" s="696">
        <v>86450</v>
      </c>
      <c r="N328" s="814">
        <v>43000</v>
      </c>
      <c r="O328" s="696">
        <v>56800</v>
      </c>
      <c r="P328" s="696">
        <v>68800</v>
      </c>
      <c r="Q328" s="696">
        <v>90800</v>
      </c>
      <c r="R328" s="814">
        <v>44750</v>
      </c>
      <c r="S328" s="696">
        <v>59100</v>
      </c>
      <c r="T328" s="696">
        <v>71600</v>
      </c>
      <c r="U328" s="696">
        <v>94550</v>
      </c>
      <c r="V328" s="843">
        <v>48850</v>
      </c>
      <c r="W328" s="844">
        <v>64500</v>
      </c>
      <c r="X328" s="844">
        <v>78150</v>
      </c>
      <c r="Y328" s="844">
        <v>103200</v>
      </c>
    </row>
    <row r="329" spans="5:25" ht="15" x14ac:dyDescent="0.25">
      <c r="E329" s="697" t="s">
        <v>530</v>
      </c>
      <c r="F329" s="696">
        <v>31600</v>
      </c>
      <c r="G329" s="696">
        <v>41750</v>
      </c>
      <c r="H329" s="696">
        <v>50550</v>
      </c>
      <c r="I329" s="696">
        <v>66750</v>
      </c>
      <c r="J329" s="814">
        <v>34000</v>
      </c>
      <c r="K329" s="696">
        <v>44900</v>
      </c>
      <c r="L329" s="696">
        <v>54400</v>
      </c>
      <c r="M329" s="696">
        <v>71800</v>
      </c>
      <c r="N329" s="814">
        <v>36000</v>
      </c>
      <c r="O329" s="696">
        <v>47550</v>
      </c>
      <c r="P329" s="696">
        <v>57600</v>
      </c>
      <c r="Q329" s="696">
        <v>76050</v>
      </c>
      <c r="R329" s="814">
        <v>37650</v>
      </c>
      <c r="S329" s="696">
        <v>49700</v>
      </c>
      <c r="T329" s="696">
        <v>60250</v>
      </c>
      <c r="U329" s="696">
        <v>79550</v>
      </c>
      <c r="V329" s="843">
        <v>39450</v>
      </c>
      <c r="W329" s="844">
        <v>52100</v>
      </c>
      <c r="X329" s="844">
        <v>63100</v>
      </c>
      <c r="Y329" s="844">
        <v>83300</v>
      </c>
    </row>
    <row r="330" spans="5:25" ht="15" x14ac:dyDescent="0.25">
      <c r="E330" s="697" t="s">
        <v>531</v>
      </c>
      <c r="F330" s="696">
        <v>37200</v>
      </c>
      <c r="G330" s="696">
        <v>49150</v>
      </c>
      <c r="H330" s="696">
        <v>59500</v>
      </c>
      <c r="I330" s="696">
        <v>78550</v>
      </c>
      <c r="J330" s="814">
        <v>40950</v>
      </c>
      <c r="K330" s="696">
        <v>54100</v>
      </c>
      <c r="L330" s="696">
        <v>65500</v>
      </c>
      <c r="M330" s="696">
        <v>86450</v>
      </c>
      <c r="N330" s="814">
        <v>43000</v>
      </c>
      <c r="O330" s="696">
        <v>56800</v>
      </c>
      <c r="P330" s="696">
        <v>68800</v>
      </c>
      <c r="Q330" s="696">
        <v>90800</v>
      </c>
      <c r="R330" s="814">
        <v>44750</v>
      </c>
      <c r="S330" s="696">
        <v>59100</v>
      </c>
      <c r="T330" s="696">
        <v>71600</v>
      </c>
      <c r="U330" s="696">
        <v>94550</v>
      </c>
      <c r="V330" s="843">
        <v>48850</v>
      </c>
      <c r="W330" s="844">
        <v>64500</v>
      </c>
      <c r="X330" s="844">
        <v>78150</v>
      </c>
      <c r="Y330" s="844">
        <v>103200</v>
      </c>
    </row>
    <row r="331" spans="5:25" ht="15" x14ac:dyDescent="0.25">
      <c r="E331" s="697" t="s">
        <v>532</v>
      </c>
      <c r="F331" s="696">
        <v>29650</v>
      </c>
      <c r="G331" s="696">
        <v>39150</v>
      </c>
      <c r="H331" s="696">
        <v>47450</v>
      </c>
      <c r="I331" s="696">
        <v>62650</v>
      </c>
      <c r="J331" s="814">
        <v>32350</v>
      </c>
      <c r="K331" s="696">
        <v>42750</v>
      </c>
      <c r="L331" s="696">
        <v>51750</v>
      </c>
      <c r="M331" s="696">
        <v>68300</v>
      </c>
      <c r="N331" s="814">
        <v>34250</v>
      </c>
      <c r="O331" s="696">
        <v>45250</v>
      </c>
      <c r="P331" s="696">
        <v>54800</v>
      </c>
      <c r="Q331" s="696">
        <v>72350</v>
      </c>
      <c r="R331" s="814">
        <v>34500</v>
      </c>
      <c r="S331" s="696">
        <v>45550</v>
      </c>
      <c r="T331" s="696">
        <v>55200</v>
      </c>
      <c r="U331" s="696">
        <v>72900</v>
      </c>
      <c r="V331" s="843">
        <v>37100</v>
      </c>
      <c r="W331" s="844">
        <v>49000</v>
      </c>
      <c r="X331" s="844">
        <v>59350</v>
      </c>
      <c r="Y331" s="844">
        <v>78350</v>
      </c>
    </row>
    <row r="332" spans="5:25" ht="15" x14ac:dyDescent="0.25">
      <c r="E332" s="697" t="s">
        <v>533</v>
      </c>
      <c r="F332" s="696">
        <v>29650</v>
      </c>
      <c r="G332" s="696">
        <v>39150</v>
      </c>
      <c r="H332" s="696">
        <v>47450</v>
      </c>
      <c r="I332" s="696">
        <v>62650</v>
      </c>
      <c r="J332" s="814">
        <v>32350</v>
      </c>
      <c r="K332" s="696">
        <v>42750</v>
      </c>
      <c r="L332" s="696">
        <v>51750</v>
      </c>
      <c r="M332" s="696">
        <v>68300</v>
      </c>
      <c r="N332" s="814">
        <v>34250</v>
      </c>
      <c r="O332" s="696">
        <v>45250</v>
      </c>
      <c r="P332" s="696">
        <v>54800</v>
      </c>
      <c r="Q332" s="696">
        <v>72350</v>
      </c>
      <c r="R332" s="814">
        <v>34500</v>
      </c>
      <c r="S332" s="696">
        <v>45550</v>
      </c>
      <c r="T332" s="696">
        <v>55200</v>
      </c>
      <c r="U332" s="696">
        <v>72900</v>
      </c>
      <c r="V332" s="843">
        <v>37100</v>
      </c>
      <c r="W332" s="844">
        <v>49000</v>
      </c>
      <c r="X332" s="844">
        <v>59350</v>
      </c>
      <c r="Y332" s="844">
        <v>78350</v>
      </c>
    </row>
    <row r="333" spans="5:25" ht="15" x14ac:dyDescent="0.25">
      <c r="E333" s="697" t="s">
        <v>534</v>
      </c>
      <c r="F333" s="696">
        <v>34000</v>
      </c>
      <c r="G333" s="696">
        <v>44900</v>
      </c>
      <c r="H333" s="696">
        <v>54400</v>
      </c>
      <c r="I333" s="696">
        <v>71800</v>
      </c>
      <c r="J333" s="814">
        <v>35000</v>
      </c>
      <c r="K333" s="696">
        <v>46200</v>
      </c>
      <c r="L333" s="696">
        <v>56000</v>
      </c>
      <c r="M333" s="696">
        <v>73900</v>
      </c>
      <c r="N333" s="814">
        <v>37050</v>
      </c>
      <c r="O333" s="696">
        <v>48950</v>
      </c>
      <c r="P333" s="696">
        <v>59300</v>
      </c>
      <c r="Q333" s="696">
        <v>78300</v>
      </c>
      <c r="R333" s="814">
        <v>40750</v>
      </c>
      <c r="S333" s="696">
        <v>53800</v>
      </c>
      <c r="T333" s="696">
        <v>65200</v>
      </c>
      <c r="U333" s="696">
        <v>86100</v>
      </c>
      <c r="V333" s="843">
        <v>42900</v>
      </c>
      <c r="W333" s="844">
        <v>56650</v>
      </c>
      <c r="X333" s="844">
        <v>68650</v>
      </c>
      <c r="Y333" s="844">
        <v>90650</v>
      </c>
    </row>
    <row r="334" spans="5:25" ht="15" x14ac:dyDescent="0.25">
      <c r="E334" s="697" t="s">
        <v>535</v>
      </c>
      <c r="F334" s="696">
        <v>29650</v>
      </c>
      <c r="G334" s="696">
        <v>39150</v>
      </c>
      <c r="H334" s="696">
        <v>47450</v>
      </c>
      <c r="I334" s="696">
        <v>62650</v>
      </c>
      <c r="J334" s="814">
        <v>32350</v>
      </c>
      <c r="K334" s="696">
        <v>42750</v>
      </c>
      <c r="L334" s="696">
        <v>51750</v>
      </c>
      <c r="M334" s="696">
        <v>68300</v>
      </c>
      <c r="N334" s="814">
        <v>34250</v>
      </c>
      <c r="O334" s="696">
        <v>45250</v>
      </c>
      <c r="P334" s="696">
        <v>54800</v>
      </c>
      <c r="Q334" s="696">
        <v>72350</v>
      </c>
      <c r="R334" s="814">
        <v>34500</v>
      </c>
      <c r="S334" s="696">
        <v>45550</v>
      </c>
      <c r="T334" s="696">
        <v>55200</v>
      </c>
      <c r="U334" s="696">
        <v>72900</v>
      </c>
      <c r="V334" s="843">
        <v>37100</v>
      </c>
      <c r="W334" s="844">
        <v>49000</v>
      </c>
      <c r="X334" s="844">
        <v>59350</v>
      </c>
      <c r="Y334" s="844">
        <v>78350</v>
      </c>
    </row>
    <row r="335" spans="5:25" ht="15" x14ac:dyDescent="0.25">
      <c r="E335" s="697" t="s">
        <v>536</v>
      </c>
      <c r="F335" s="696">
        <v>30700</v>
      </c>
      <c r="G335" s="696">
        <v>40550</v>
      </c>
      <c r="H335" s="696">
        <v>49100</v>
      </c>
      <c r="I335" s="696">
        <v>64800</v>
      </c>
      <c r="J335" s="814">
        <v>33300</v>
      </c>
      <c r="K335" s="696">
        <v>44000</v>
      </c>
      <c r="L335" s="696">
        <v>53300</v>
      </c>
      <c r="M335" s="696">
        <v>70350</v>
      </c>
      <c r="N335" s="814">
        <v>35250</v>
      </c>
      <c r="O335" s="696">
        <v>46550</v>
      </c>
      <c r="P335" s="696">
        <v>56400</v>
      </c>
      <c r="Q335" s="696">
        <v>74450</v>
      </c>
      <c r="R335" s="814">
        <v>36550</v>
      </c>
      <c r="S335" s="696">
        <v>48250</v>
      </c>
      <c r="T335" s="696">
        <v>58500</v>
      </c>
      <c r="U335" s="696">
        <v>77250</v>
      </c>
      <c r="V335" s="843">
        <v>38200</v>
      </c>
      <c r="W335" s="844">
        <v>50450</v>
      </c>
      <c r="X335" s="844">
        <v>61100</v>
      </c>
      <c r="Y335" s="844">
        <v>80700</v>
      </c>
    </row>
    <row r="336" spans="5:25" ht="15" x14ac:dyDescent="0.25">
      <c r="E336" s="697" t="s">
        <v>537</v>
      </c>
      <c r="F336" s="696">
        <v>33350</v>
      </c>
      <c r="G336" s="696">
        <v>44050</v>
      </c>
      <c r="H336" s="696">
        <v>53350</v>
      </c>
      <c r="I336" s="696">
        <v>70400</v>
      </c>
      <c r="J336" s="814">
        <v>34600</v>
      </c>
      <c r="K336" s="696">
        <v>45700</v>
      </c>
      <c r="L336" s="696">
        <v>55350</v>
      </c>
      <c r="M336" s="696">
        <v>73050</v>
      </c>
      <c r="N336" s="814">
        <v>36600</v>
      </c>
      <c r="O336" s="696">
        <v>48350</v>
      </c>
      <c r="P336" s="696">
        <v>58550</v>
      </c>
      <c r="Q336" s="696">
        <v>77300</v>
      </c>
      <c r="R336" s="814">
        <v>38950</v>
      </c>
      <c r="S336" s="696">
        <v>51450</v>
      </c>
      <c r="T336" s="696">
        <v>62300</v>
      </c>
      <c r="U336" s="696">
        <v>82250</v>
      </c>
      <c r="V336" s="843">
        <v>41850</v>
      </c>
      <c r="W336" s="844">
        <v>55250</v>
      </c>
      <c r="X336" s="844">
        <v>66950</v>
      </c>
      <c r="Y336" s="844">
        <v>88400</v>
      </c>
    </row>
    <row r="337" spans="5:25" ht="15" x14ac:dyDescent="0.25">
      <c r="E337" s="697" t="s">
        <v>538</v>
      </c>
      <c r="F337" s="696">
        <v>29650</v>
      </c>
      <c r="G337" s="696">
        <v>39150</v>
      </c>
      <c r="H337" s="696">
        <v>47450</v>
      </c>
      <c r="I337" s="696">
        <v>62650</v>
      </c>
      <c r="J337" s="814">
        <v>32350</v>
      </c>
      <c r="K337" s="696">
        <v>42750</v>
      </c>
      <c r="L337" s="696">
        <v>51750</v>
      </c>
      <c r="M337" s="696">
        <v>68300</v>
      </c>
      <c r="N337" s="814">
        <v>34250</v>
      </c>
      <c r="O337" s="696">
        <v>45250</v>
      </c>
      <c r="P337" s="696">
        <v>54800</v>
      </c>
      <c r="Q337" s="696">
        <v>72350</v>
      </c>
      <c r="R337" s="814">
        <v>36200</v>
      </c>
      <c r="S337" s="696">
        <v>47800</v>
      </c>
      <c r="T337" s="696">
        <v>57900</v>
      </c>
      <c r="U337" s="696">
        <v>76450</v>
      </c>
      <c r="V337" s="843">
        <v>38200</v>
      </c>
      <c r="W337" s="844">
        <v>50450</v>
      </c>
      <c r="X337" s="844">
        <v>61100</v>
      </c>
      <c r="Y337" s="844">
        <v>80700</v>
      </c>
    </row>
    <row r="338" spans="5:25" ht="15" x14ac:dyDescent="0.25">
      <c r="E338" s="697" t="s">
        <v>539</v>
      </c>
      <c r="F338" s="696">
        <v>34100</v>
      </c>
      <c r="G338" s="696">
        <v>45050</v>
      </c>
      <c r="H338" s="696">
        <v>54550</v>
      </c>
      <c r="I338" s="696">
        <v>72000</v>
      </c>
      <c r="J338" s="814">
        <v>37150</v>
      </c>
      <c r="K338" s="696">
        <v>49050</v>
      </c>
      <c r="L338" s="696">
        <v>59450</v>
      </c>
      <c r="M338" s="696">
        <v>78450</v>
      </c>
      <c r="N338" s="814">
        <v>39300</v>
      </c>
      <c r="O338" s="696">
        <v>51900</v>
      </c>
      <c r="P338" s="696">
        <v>62900</v>
      </c>
      <c r="Q338" s="696">
        <v>83050</v>
      </c>
      <c r="R338" s="814">
        <v>41950</v>
      </c>
      <c r="S338" s="696">
        <v>55400</v>
      </c>
      <c r="T338" s="696">
        <v>67100</v>
      </c>
      <c r="U338" s="696">
        <v>88600</v>
      </c>
      <c r="V338" s="843">
        <v>45800</v>
      </c>
      <c r="W338" s="844">
        <v>60500</v>
      </c>
      <c r="X338" s="844">
        <v>73250</v>
      </c>
      <c r="Y338" s="844">
        <v>96700</v>
      </c>
    </row>
    <row r="339" spans="5:25" ht="15" x14ac:dyDescent="0.25">
      <c r="E339" s="697" t="s">
        <v>540</v>
      </c>
      <c r="F339" s="696">
        <v>29650</v>
      </c>
      <c r="G339" s="696">
        <v>39150</v>
      </c>
      <c r="H339" s="696">
        <v>47450</v>
      </c>
      <c r="I339" s="696">
        <v>62650</v>
      </c>
      <c r="J339" s="814">
        <v>32350</v>
      </c>
      <c r="K339" s="696">
        <v>42750</v>
      </c>
      <c r="L339" s="696">
        <v>51750</v>
      </c>
      <c r="M339" s="696">
        <v>68300</v>
      </c>
      <c r="N339" s="814">
        <v>34250</v>
      </c>
      <c r="O339" s="696">
        <v>45250</v>
      </c>
      <c r="P339" s="696">
        <v>54800</v>
      </c>
      <c r="Q339" s="696">
        <v>72350</v>
      </c>
      <c r="R339" s="814">
        <v>34500</v>
      </c>
      <c r="S339" s="696">
        <v>45550</v>
      </c>
      <c r="T339" s="696">
        <v>55200</v>
      </c>
      <c r="U339" s="696">
        <v>72900</v>
      </c>
      <c r="V339" s="843">
        <v>37100</v>
      </c>
      <c r="W339" s="844">
        <v>49000</v>
      </c>
      <c r="X339" s="844">
        <v>59350</v>
      </c>
      <c r="Y339" s="844">
        <v>78350</v>
      </c>
    </row>
    <row r="340" spans="5:25" ht="15" x14ac:dyDescent="0.25">
      <c r="E340" s="697" t="s">
        <v>541</v>
      </c>
      <c r="F340" s="696">
        <v>29650</v>
      </c>
      <c r="G340" s="696">
        <v>39150</v>
      </c>
      <c r="H340" s="696">
        <v>47450</v>
      </c>
      <c r="I340" s="696">
        <v>62650</v>
      </c>
      <c r="J340" s="814">
        <v>32350</v>
      </c>
      <c r="K340" s="696">
        <v>42750</v>
      </c>
      <c r="L340" s="696">
        <v>51750</v>
      </c>
      <c r="M340" s="696">
        <v>68300</v>
      </c>
      <c r="N340" s="814">
        <v>34250</v>
      </c>
      <c r="O340" s="696">
        <v>45250</v>
      </c>
      <c r="P340" s="696">
        <v>54800</v>
      </c>
      <c r="Q340" s="696">
        <v>72350</v>
      </c>
      <c r="R340" s="814">
        <v>34500</v>
      </c>
      <c r="S340" s="696">
        <v>45550</v>
      </c>
      <c r="T340" s="696">
        <v>55200</v>
      </c>
      <c r="U340" s="696">
        <v>72900</v>
      </c>
      <c r="V340" s="843">
        <v>37100</v>
      </c>
      <c r="W340" s="844">
        <v>49000</v>
      </c>
      <c r="X340" s="844">
        <v>59350</v>
      </c>
      <c r="Y340" s="844">
        <v>78350</v>
      </c>
    </row>
    <row r="341" spans="5:25" ht="15" x14ac:dyDescent="0.25">
      <c r="E341" s="697" t="s">
        <v>542</v>
      </c>
      <c r="F341" s="696">
        <v>37200</v>
      </c>
      <c r="G341" s="696">
        <v>49150</v>
      </c>
      <c r="H341" s="696">
        <v>59500</v>
      </c>
      <c r="I341" s="696">
        <v>78550</v>
      </c>
      <c r="J341" s="814">
        <v>40950</v>
      </c>
      <c r="K341" s="696">
        <v>54100</v>
      </c>
      <c r="L341" s="696">
        <v>65500</v>
      </c>
      <c r="M341" s="696">
        <v>86450</v>
      </c>
      <c r="N341" s="814">
        <v>43000</v>
      </c>
      <c r="O341" s="696">
        <v>56800</v>
      </c>
      <c r="P341" s="696">
        <v>68800</v>
      </c>
      <c r="Q341" s="696">
        <v>90800</v>
      </c>
      <c r="R341" s="814">
        <v>44750</v>
      </c>
      <c r="S341" s="696">
        <v>59100</v>
      </c>
      <c r="T341" s="696">
        <v>71600</v>
      </c>
      <c r="U341" s="696">
        <v>94550</v>
      </c>
      <c r="V341" s="843">
        <v>48850</v>
      </c>
      <c r="W341" s="844">
        <v>64500</v>
      </c>
      <c r="X341" s="844">
        <v>78150</v>
      </c>
      <c r="Y341" s="844">
        <v>103200</v>
      </c>
    </row>
    <row r="342" spans="5:25" ht="15" x14ac:dyDescent="0.25">
      <c r="E342" s="697" t="s">
        <v>543</v>
      </c>
      <c r="F342" s="696">
        <v>29650</v>
      </c>
      <c r="G342" s="696">
        <v>39150</v>
      </c>
      <c r="H342" s="696">
        <v>47450</v>
      </c>
      <c r="I342" s="696">
        <v>62650</v>
      </c>
      <c r="J342" s="814">
        <v>32350</v>
      </c>
      <c r="K342" s="696">
        <v>42750</v>
      </c>
      <c r="L342" s="696">
        <v>51750</v>
      </c>
      <c r="M342" s="696">
        <v>68300</v>
      </c>
      <c r="N342" s="814">
        <v>34250</v>
      </c>
      <c r="O342" s="696">
        <v>45250</v>
      </c>
      <c r="P342" s="696">
        <v>54800</v>
      </c>
      <c r="Q342" s="696">
        <v>72350</v>
      </c>
      <c r="R342" s="814">
        <v>34500</v>
      </c>
      <c r="S342" s="696">
        <v>45550</v>
      </c>
      <c r="T342" s="696">
        <v>55200</v>
      </c>
      <c r="U342" s="696">
        <v>72900</v>
      </c>
      <c r="V342" s="843">
        <v>37100</v>
      </c>
      <c r="W342" s="844">
        <v>49000</v>
      </c>
      <c r="X342" s="844">
        <v>59350</v>
      </c>
      <c r="Y342" s="844">
        <v>78350</v>
      </c>
    </row>
    <row r="343" spans="5:25" ht="15" x14ac:dyDescent="0.25">
      <c r="E343" s="697" t="s">
        <v>544</v>
      </c>
      <c r="F343" s="696">
        <v>36000</v>
      </c>
      <c r="G343" s="696">
        <v>47550</v>
      </c>
      <c r="H343" s="696">
        <v>57600</v>
      </c>
      <c r="I343" s="696">
        <v>76050</v>
      </c>
      <c r="J343" s="814">
        <v>40250</v>
      </c>
      <c r="K343" s="696">
        <v>53150</v>
      </c>
      <c r="L343" s="696">
        <v>64400</v>
      </c>
      <c r="M343" s="696">
        <v>85000</v>
      </c>
      <c r="N343" s="814">
        <v>42600</v>
      </c>
      <c r="O343" s="696">
        <v>56250</v>
      </c>
      <c r="P343" s="696">
        <v>68150</v>
      </c>
      <c r="Q343" s="696">
        <v>89950</v>
      </c>
      <c r="R343" s="814">
        <v>43300</v>
      </c>
      <c r="S343" s="696">
        <v>57200</v>
      </c>
      <c r="T343" s="696">
        <v>69300</v>
      </c>
      <c r="U343" s="696">
        <v>91500</v>
      </c>
      <c r="V343" s="843">
        <v>45150</v>
      </c>
      <c r="W343" s="844">
        <v>59600</v>
      </c>
      <c r="X343" s="844">
        <v>72250</v>
      </c>
      <c r="Y343" s="844">
        <v>95400</v>
      </c>
    </row>
    <row r="344" spans="5:25" ht="15" x14ac:dyDescent="0.25">
      <c r="E344" s="697" t="s">
        <v>545</v>
      </c>
      <c r="F344" s="696">
        <v>29650</v>
      </c>
      <c r="G344" s="696">
        <v>39150</v>
      </c>
      <c r="H344" s="696">
        <v>47450</v>
      </c>
      <c r="I344" s="696">
        <v>62650</v>
      </c>
      <c r="J344" s="814">
        <v>32350</v>
      </c>
      <c r="K344" s="696">
        <v>42750</v>
      </c>
      <c r="L344" s="696">
        <v>51750</v>
      </c>
      <c r="M344" s="696">
        <v>68300</v>
      </c>
      <c r="N344" s="814">
        <v>34250</v>
      </c>
      <c r="O344" s="696">
        <v>45250</v>
      </c>
      <c r="P344" s="696">
        <v>54800</v>
      </c>
      <c r="Q344" s="696">
        <v>72350</v>
      </c>
      <c r="R344" s="814">
        <v>34500</v>
      </c>
      <c r="S344" s="696">
        <v>45550</v>
      </c>
      <c r="T344" s="696">
        <v>55200</v>
      </c>
      <c r="U344" s="696">
        <v>72900</v>
      </c>
      <c r="V344" s="843">
        <v>37100</v>
      </c>
      <c r="W344" s="844">
        <v>49000</v>
      </c>
      <c r="X344" s="844">
        <v>59350</v>
      </c>
      <c r="Y344" s="844">
        <v>78350</v>
      </c>
    </row>
    <row r="345" spans="5:25" ht="15" x14ac:dyDescent="0.25">
      <c r="E345" s="697" t="s">
        <v>546</v>
      </c>
      <c r="F345" s="696">
        <v>29650</v>
      </c>
      <c r="G345" s="696">
        <v>39150</v>
      </c>
      <c r="H345" s="696">
        <v>47450</v>
      </c>
      <c r="I345" s="696">
        <v>62650</v>
      </c>
      <c r="J345" s="814">
        <v>32350</v>
      </c>
      <c r="K345" s="696">
        <v>42750</v>
      </c>
      <c r="L345" s="696">
        <v>51750</v>
      </c>
      <c r="M345" s="696">
        <v>68300</v>
      </c>
      <c r="N345" s="814">
        <v>34250</v>
      </c>
      <c r="O345" s="696">
        <v>45250</v>
      </c>
      <c r="P345" s="696">
        <v>54800</v>
      </c>
      <c r="Q345" s="696">
        <v>72350</v>
      </c>
      <c r="R345" s="814">
        <v>36850</v>
      </c>
      <c r="S345" s="696">
        <v>48650</v>
      </c>
      <c r="T345" s="696">
        <v>58950</v>
      </c>
      <c r="U345" s="696">
        <v>77850</v>
      </c>
      <c r="V345" s="843">
        <v>39050</v>
      </c>
      <c r="W345" s="844">
        <v>51550</v>
      </c>
      <c r="X345" s="844">
        <v>62500</v>
      </c>
      <c r="Y345" s="844">
        <v>82500</v>
      </c>
    </row>
    <row r="346" spans="5:25" ht="15" x14ac:dyDescent="0.25">
      <c r="E346" s="697" t="s">
        <v>547</v>
      </c>
      <c r="F346" s="696">
        <v>32650</v>
      </c>
      <c r="G346" s="696">
        <v>43100</v>
      </c>
      <c r="H346" s="696">
        <v>52250</v>
      </c>
      <c r="I346" s="696">
        <v>68950</v>
      </c>
      <c r="J346" s="814">
        <v>32750</v>
      </c>
      <c r="K346" s="696">
        <v>43250</v>
      </c>
      <c r="L346" s="696">
        <v>52400</v>
      </c>
      <c r="M346" s="696">
        <v>69150</v>
      </c>
      <c r="N346" s="814">
        <v>34650</v>
      </c>
      <c r="O346" s="696">
        <v>45750</v>
      </c>
      <c r="P346" s="696">
        <v>55450</v>
      </c>
      <c r="Q346" s="696">
        <v>73200</v>
      </c>
      <c r="R346" s="814">
        <v>38100</v>
      </c>
      <c r="S346" s="696">
        <v>50300</v>
      </c>
      <c r="T346" s="696">
        <v>60950</v>
      </c>
      <c r="U346" s="696">
        <v>80500</v>
      </c>
      <c r="V346" s="843">
        <v>41600</v>
      </c>
      <c r="W346" s="844">
        <v>54900</v>
      </c>
      <c r="X346" s="844">
        <v>66550</v>
      </c>
      <c r="Y346" s="844">
        <v>87850</v>
      </c>
    </row>
    <row r="347" spans="5:25" ht="15" x14ac:dyDescent="0.25">
      <c r="E347" s="697" t="s">
        <v>548</v>
      </c>
      <c r="F347" s="696">
        <v>30450</v>
      </c>
      <c r="G347" s="696">
        <v>40200</v>
      </c>
      <c r="H347" s="696">
        <v>48700</v>
      </c>
      <c r="I347" s="696">
        <v>64300</v>
      </c>
      <c r="J347" s="814">
        <v>33400</v>
      </c>
      <c r="K347" s="696">
        <v>44100</v>
      </c>
      <c r="L347" s="696">
        <v>53450</v>
      </c>
      <c r="M347" s="696">
        <v>70550</v>
      </c>
      <c r="N347" s="814">
        <v>35150</v>
      </c>
      <c r="O347" s="696">
        <v>46400</v>
      </c>
      <c r="P347" s="696">
        <v>56250</v>
      </c>
      <c r="Q347" s="696">
        <v>74250</v>
      </c>
      <c r="R347" s="814">
        <v>35550</v>
      </c>
      <c r="S347" s="696">
        <v>46950</v>
      </c>
      <c r="T347" s="696">
        <v>56900</v>
      </c>
      <c r="U347" s="696">
        <v>75150</v>
      </c>
      <c r="V347" s="843">
        <v>37750</v>
      </c>
      <c r="W347" s="844">
        <v>49850</v>
      </c>
      <c r="X347" s="844">
        <v>60400</v>
      </c>
      <c r="Y347" s="844">
        <v>79750</v>
      </c>
    </row>
    <row r="348" spans="5:25" ht="15" x14ac:dyDescent="0.25">
      <c r="E348" s="697" t="s">
        <v>549</v>
      </c>
      <c r="F348" s="696">
        <v>32150</v>
      </c>
      <c r="G348" s="696">
        <v>42450</v>
      </c>
      <c r="H348" s="696">
        <v>51450</v>
      </c>
      <c r="I348" s="696">
        <v>67900</v>
      </c>
      <c r="J348" s="814">
        <v>35250</v>
      </c>
      <c r="K348" s="696">
        <v>46550</v>
      </c>
      <c r="L348" s="696">
        <v>56400</v>
      </c>
      <c r="M348" s="696">
        <v>74450</v>
      </c>
      <c r="N348" s="814">
        <v>37300</v>
      </c>
      <c r="O348" s="696">
        <v>49250</v>
      </c>
      <c r="P348" s="696">
        <v>59700</v>
      </c>
      <c r="Q348" s="696">
        <v>78800</v>
      </c>
      <c r="R348" s="814">
        <v>39650</v>
      </c>
      <c r="S348" s="696">
        <v>52350</v>
      </c>
      <c r="T348" s="696">
        <v>63450</v>
      </c>
      <c r="U348" s="696">
        <v>83800</v>
      </c>
      <c r="V348" s="843">
        <v>42050</v>
      </c>
      <c r="W348" s="844">
        <v>55550</v>
      </c>
      <c r="X348" s="844">
        <v>67300</v>
      </c>
      <c r="Y348" s="844">
        <v>88850</v>
      </c>
    </row>
    <row r="349" spans="5:25" ht="15" x14ac:dyDescent="0.25">
      <c r="E349" s="697" t="s">
        <v>550</v>
      </c>
      <c r="F349" s="696">
        <v>30750</v>
      </c>
      <c r="G349" s="696">
        <v>40600</v>
      </c>
      <c r="H349" s="696">
        <v>49200</v>
      </c>
      <c r="I349" s="696">
        <v>64950</v>
      </c>
      <c r="J349" s="814">
        <v>34400</v>
      </c>
      <c r="K349" s="696">
        <v>45450</v>
      </c>
      <c r="L349" s="696">
        <v>55050</v>
      </c>
      <c r="M349" s="696">
        <v>72650</v>
      </c>
      <c r="N349" s="814">
        <v>36400</v>
      </c>
      <c r="O349" s="696">
        <v>48050</v>
      </c>
      <c r="P349" s="696">
        <v>58250</v>
      </c>
      <c r="Q349" s="696">
        <v>76900</v>
      </c>
      <c r="R349" s="814">
        <v>36400</v>
      </c>
      <c r="S349" s="696">
        <v>48050</v>
      </c>
      <c r="T349" s="696">
        <v>58250</v>
      </c>
      <c r="U349" s="696">
        <v>76900</v>
      </c>
      <c r="V349" s="843">
        <v>37100</v>
      </c>
      <c r="W349" s="844">
        <v>49000</v>
      </c>
      <c r="X349" s="844">
        <v>59350</v>
      </c>
      <c r="Y349" s="844">
        <v>78350</v>
      </c>
    </row>
    <row r="350" spans="5:25" ht="15" x14ac:dyDescent="0.25">
      <c r="E350" s="697" t="s">
        <v>551</v>
      </c>
      <c r="F350" s="696">
        <v>29650</v>
      </c>
      <c r="G350" s="696">
        <v>39150</v>
      </c>
      <c r="H350" s="696">
        <v>47450</v>
      </c>
      <c r="I350" s="696">
        <v>62650</v>
      </c>
      <c r="J350" s="814">
        <v>32350</v>
      </c>
      <c r="K350" s="696">
        <v>42750</v>
      </c>
      <c r="L350" s="696">
        <v>51750</v>
      </c>
      <c r="M350" s="696">
        <v>68300</v>
      </c>
      <c r="N350" s="814">
        <v>34250</v>
      </c>
      <c r="O350" s="696">
        <v>45250</v>
      </c>
      <c r="P350" s="696">
        <v>54800</v>
      </c>
      <c r="Q350" s="696">
        <v>72350</v>
      </c>
      <c r="R350" s="814">
        <v>34500</v>
      </c>
      <c r="S350" s="696">
        <v>45550</v>
      </c>
      <c r="T350" s="696">
        <v>55200</v>
      </c>
      <c r="U350" s="696">
        <v>72900</v>
      </c>
      <c r="V350" s="843">
        <v>37100</v>
      </c>
      <c r="W350" s="844">
        <v>49000</v>
      </c>
      <c r="X350" s="844">
        <v>59350</v>
      </c>
      <c r="Y350" s="844">
        <v>78350</v>
      </c>
    </row>
    <row r="351" spans="5:25" ht="15" x14ac:dyDescent="0.25">
      <c r="E351" s="697" t="s">
        <v>552</v>
      </c>
      <c r="F351" s="696">
        <v>34250</v>
      </c>
      <c r="G351" s="696">
        <v>45250</v>
      </c>
      <c r="H351" s="696">
        <v>54800</v>
      </c>
      <c r="I351" s="696">
        <v>72350</v>
      </c>
      <c r="J351" s="814">
        <v>34350</v>
      </c>
      <c r="K351" s="696">
        <v>45350</v>
      </c>
      <c r="L351" s="696">
        <v>54950</v>
      </c>
      <c r="M351" s="696">
        <v>72550</v>
      </c>
      <c r="N351" s="814">
        <v>34900</v>
      </c>
      <c r="O351" s="696">
        <v>46100</v>
      </c>
      <c r="P351" s="696">
        <v>55850</v>
      </c>
      <c r="Q351" s="696">
        <v>73700</v>
      </c>
      <c r="R351" s="814">
        <v>36100</v>
      </c>
      <c r="S351" s="696">
        <v>47700</v>
      </c>
      <c r="T351" s="696">
        <v>57750</v>
      </c>
      <c r="U351" s="696">
        <v>76250</v>
      </c>
      <c r="V351" s="843">
        <v>38650</v>
      </c>
      <c r="W351" s="844">
        <v>51050</v>
      </c>
      <c r="X351" s="844">
        <v>61850</v>
      </c>
      <c r="Y351" s="844">
        <v>81650</v>
      </c>
    </row>
    <row r="352" spans="5:25" ht="15" x14ac:dyDescent="0.25">
      <c r="E352" s="697" t="s">
        <v>553</v>
      </c>
      <c r="F352" s="696">
        <v>36000</v>
      </c>
      <c r="G352" s="696">
        <v>47550</v>
      </c>
      <c r="H352" s="696">
        <v>57600</v>
      </c>
      <c r="I352" s="696">
        <v>76050</v>
      </c>
      <c r="J352" s="814">
        <v>40250</v>
      </c>
      <c r="K352" s="696">
        <v>53150</v>
      </c>
      <c r="L352" s="696">
        <v>64400</v>
      </c>
      <c r="M352" s="696">
        <v>85000</v>
      </c>
      <c r="N352" s="814">
        <v>42600</v>
      </c>
      <c r="O352" s="696">
        <v>56250</v>
      </c>
      <c r="P352" s="696">
        <v>68150</v>
      </c>
      <c r="Q352" s="696">
        <v>89950</v>
      </c>
      <c r="R352" s="814">
        <v>43300</v>
      </c>
      <c r="S352" s="696">
        <v>57200</v>
      </c>
      <c r="T352" s="696">
        <v>69300</v>
      </c>
      <c r="U352" s="696">
        <v>91500</v>
      </c>
      <c r="V352" s="843">
        <v>45150</v>
      </c>
      <c r="W352" s="844">
        <v>59600</v>
      </c>
      <c r="X352" s="844">
        <v>72250</v>
      </c>
      <c r="Y352" s="844">
        <v>95400</v>
      </c>
    </row>
    <row r="353" spans="5:25" ht="15" x14ac:dyDescent="0.25">
      <c r="E353" s="697" t="s">
        <v>554</v>
      </c>
      <c r="F353" s="696">
        <v>29650</v>
      </c>
      <c r="G353" s="696">
        <v>39150</v>
      </c>
      <c r="H353" s="696">
        <v>47450</v>
      </c>
      <c r="I353" s="696">
        <v>62650</v>
      </c>
      <c r="J353" s="814">
        <v>32350</v>
      </c>
      <c r="K353" s="696">
        <v>42750</v>
      </c>
      <c r="L353" s="696">
        <v>51750</v>
      </c>
      <c r="M353" s="696">
        <v>68300</v>
      </c>
      <c r="N353" s="814">
        <v>34250</v>
      </c>
      <c r="O353" s="696">
        <v>45250</v>
      </c>
      <c r="P353" s="696">
        <v>54800</v>
      </c>
      <c r="Q353" s="696">
        <v>72350</v>
      </c>
      <c r="R353" s="814">
        <v>34500</v>
      </c>
      <c r="S353" s="696">
        <v>45550</v>
      </c>
      <c r="T353" s="696">
        <v>55200</v>
      </c>
      <c r="U353" s="696">
        <v>72900</v>
      </c>
      <c r="V353" s="843">
        <v>37100</v>
      </c>
      <c r="W353" s="844">
        <v>49000</v>
      </c>
      <c r="X353" s="844">
        <v>59350</v>
      </c>
      <c r="Y353" s="844">
        <v>78350</v>
      </c>
    </row>
    <row r="354" spans="5:25" ht="15" x14ac:dyDescent="0.25">
      <c r="E354" s="697" t="s">
        <v>555</v>
      </c>
      <c r="F354" s="696">
        <v>27150</v>
      </c>
      <c r="G354" s="696">
        <v>35850</v>
      </c>
      <c r="H354" s="696">
        <v>43450</v>
      </c>
      <c r="I354" s="696">
        <v>57350</v>
      </c>
      <c r="J354" s="814">
        <v>30350</v>
      </c>
      <c r="K354" s="696">
        <v>40100</v>
      </c>
      <c r="L354" s="696">
        <v>48550</v>
      </c>
      <c r="M354" s="696">
        <v>64100</v>
      </c>
      <c r="N354" s="814">
        <v>32100</v>
      </c>
      <c r="O354" s="696">
        <v>42400</v>
      </c>
      <c r="P354" s="696">
        <v>51350</v>
      </c>
      <c r="Q354" s="696">
        <v>67800</v>
      </c>
      <c r="R354" s="814">
        <v>33250</v>
      </c>
      <c r="S354" s="696">
        <v>43900</v>
      </c>
      <c r="T354" s="696">
        <v>53200</v>
      </c>
      <c r="U354" s="696">
        <v>70250</v>
      </c>
      <c r="V354" s="843">
        <v>36300</v>
      </c>
      <c r="W354" s="844">
        <v>47950</v>
      </c>
      <c r="X354" s="844">
        <v>58100</v>
      </c>
      <c r="Y354" s="844">
        <v>76700</v>
      </c>
    </row>
    <row r="355" spans="5:25" ht="15" x14ac:dyDescent="0.25">
      <c r="E355" s="697" t="s">
        <v>556</v>
      </c>
      <c r="F355" s="696">
        <v>30900</v>
      </c>
      <c r="G355" s="696">
        <v>40800</v>
      </c>
      <c r="H355" s="696">
        <v>49450</v>
      </c>
      <c r="I355" s="696">
        <v>65250</v>
      </c>
      <c r="J355" s="814">
        <v>33550</v>
      </c>
      <c r="K355" s="696">
        <v>44300</v>
      </c>
      <c r="L355" s="696">
        <v>53700</v>
      </c>
      <c r="M355" s="696">
        <v>70900</v>
      </c>
      <c r="N355" s="814">
        <v>35500</v>
      </c>
      <c r="O355" s="696">
        <v>46900</v>
      </c>
      <c r="P355" s="696">
        <v>56800</v>
      </c>
      <c r="Q355" s="696">
        <v>75000</v>
      </c>
      <c r="R355" s="814">
        <v>37600</v>
      </c>
      <c r="S355" s="696">
        <v>49650</v>
      </c>
      <c r="T355" s="696">
        <v>60150</v>
      </c>
      <c r="U355" s="696">
        <v>79400</v>
      </c>
      <c r="V355" s="843">
        <v>40850</v>
      </c>
      <c r="W355" s="844">
        <v>53950</v>
      </c>
      <c r="X355" s="844">
        <v>65350</v>
      </c>
      <c r="Y355" s="844">
        <v>86300</v>
      </c>
    </row>
    <row r="356" spans="5:25" ht="15" x14ac:dyDescent="0.25">
      <c r="E356" s="697" t="s">
        <v>557</v>
      </c>
      <c r="F356" s="696">
        <v>32450</v>
      </c>
      <c r="G356" s="696">
        <v>42850</v>
      </c>
      <c r="H356" s="696">
        <v>51900</v>
      </c>
      <c r="I356" s="696">
        <v>68500</v>
      </c>
      <c r="J356" s="814">
        <v>33550</v>
      </c>
      <c r="K356" s="696">
        <v>44300</v>
      </c>
      <c r="L356" s="696">
        <v>53700</v>
      </c>
      <c r="M356" s="696">
        <v>70900</v>
      </c>
      <c r="N356" s="814">
        <v>35500</v>
      </c>
      <c r="O356" s="696">
        <v>46900</v>
      </c>
      <c r="P356" s="696">
        <v>56800</v>
      </c>
      <c r="Q356" s="696">
        <v>75000</v>
      </c>
      <c r="R356" s="814">
        <v>37450</v>
      </c>
      <c r="S356" s="696">
        <v>49450</v>
      </c>
      <c r="T356" s="696">
        <v>59900</v>
      </c>
      <c r="U356" s="696">
        <v>79100</v>
      </c>
      <c r="V356" s="843">
        <v>39550</v>
      </c>
      <c r="W356" s="844">
        <v>52250</v>
      </c>
      <c r="X356" s="844">
        <v>63300</v>
      </c>
      <c r="Y356" s="844">
        <v>83600</v>
      </c>
    </row>
    <row r="357" spans="5:25" ht="15" x14ac:dyDescent="0.25">
      <c r="E357" s="697" t="s">
        <v>558</v>
      </c>
      <c r="F357" s="696">
        <v>29650</v>
      </c>
      <c r="G357" s="696">
        <v>39150</v>
      </c>
      <c r="H357" s="696">
        <v>47450</v>
      </c>
      <c r="I357" s="696">
        <v>62650</v>
      </c>
      <c r="J357" s="814">
        <v>32350</v>
      </c>
      <c r="K357" s="696">
        <v>42750</v>
      </c>
      <c r="L357" s="696">
        <v>51750</v>
      </c>
      <c r="M357" s="696">
        <v>68300</v>
      </c>
      <c r="N357" s="814">
        <v>34250</v>
      </c>
      <c r="O357" s="696">
        <v>45250</v>
      </c>
      <c r="P357" s="696">
        <v>54800</v>
      </c>
      <c r="Q357" s="696">
        <v>72350</v>
      </c>
      <c r="R357" s="814">
        <v>34500</v>
      </c>
      <c r="S357" s="696">
        <v>45550</v>
      </c>
      <c r="T357" s="696">
        <v>55200</v>
      </c>
      <c r="U357" s="696">
        <v>72900</v>
      </c>
      <c r="V357" s="843">
        <v>37100</v>
      </c>
      <c r="W357" s="844">
        <v>49000</v>
      </c>
      <c r="X357" s="844">
        <v>59350</v>
      </c>
      <c r="Y357" s="844">
        <v>78350</v>
      </c>
    </row>
    <row r="358" spans="5:25" ht="15" x14ac:dyDescent="0.25">
      <c r="E358" s="697" t="s">
        <v>559</v>
      </c>
      <c r="F358" s="696">
        <v>36000</v>
      </c>
      <c r="G358" s="696">
        <v>47550</v>
      </c>
      <c r="H358" s="696">
        <v>57600</v>
      </c>
      <c r="I358" s="696">
        <v>76050</v>
      </c>
      <c r="J358" s="814">
        <v>40250</v>
      </c>
      <c r="K358" s="696">
        <v>53150</v>
      </c>
      <c r="L358" s="696">
        <v>64400</v>
      </c>
      <c r="M358" s="696">
        <v>85000</v>
      </c>
      <c r="N358" s="814">
        <v>42600</v>
      </c>
      <c r="O358" s="696">
        <v>56250</v>
      </c>
      <c r="P358" s="696">
        <v>68150</v>
      </c>
      <c r="Q358" s="696">
        <v>89950</v>
      </c>
      <c r="R358" s="814">
        <v>43300</v>
      </c>
      <c r="S358" s="696">
        <v>57200</v>
      </c>
      <c r="T358" s="696">
        <v>69300</v>
      </c>
      <c r="U358" s="696">
        <v>91500</v>
      </c>
      <c r="V358" s="843">
        <v>45150</v>
      </c>
      <c r="W358" s="844">
        <v>59600</v>
      </c>
      <c r="X358" s="844">
        <v>72250</v>
      </c>
      <c r="Y358" s="844">
        <v>95400</v>
      </c>
    </row>
    <row r="359" spans="5:25" ht="15" x14ac:dyDescent="0.25">
      <c r="E359" s="697" t="s">
        <v>560</v>
      </c>
      <c r="F359" s="696">
        <v>36000</v>
      </c>
      <c r="G359" s="696">
        <v>47550</v>
      </c>
      <c r="H359" s="696">
        <v>57600</v>
      </c>
      <c r="I359" s="696">
        <v>76050</v>
      </c>
      <c r="J359" s="814">
        <v>40250</v>
      </c>
      <c r="K359" s="696">
        <v>53150</v>
      </c>
      <c r="L359" s="696">
        <v>64400</v>
      </c>
      <c r="M359" s="696">
        <v>85000</v>
      </c>
      <c r="N359" s="814">
        <v>42600</v>
      </c>
      <c r="O359" s="696">
        <v>56250</v>
      </c>
      <c r="P359" s="696">
        <v>68150</v>
      </c>
      <c r="Q359" s="696">
        <v>89950</v>
      </c>
      <c r="R359" s="814">
        <v>43300</v>
      </c>
      <c r="S359" s="696">
        <v>57200</v>
      </c>
      <c r="T359" s="696">
        <v>69300</v>
      </c>
      <c r="U359" s="696">
        <v>91500</v>
      </c>
      <c r="V359" s="843">
        <v>45150</v>
      </c>
      <c r="W359" s="844">
        <v>59600</v>
      </c>
      <c r="X359" s="844">
        <v>72250</v>
      </c>
      <c r="Y359" s="844">
        <v>95400</v>
      </c>
    </row>
    <row r="360" spans="5:25" ht="15" x14ac:dyDescent="0.25">
      <c r="E360" s="697" t="s">
        <v>561</v>
      </c>
      <c r="F360" s="696">
        <v>33350</v>
      </c>
      <c r="G360" s="696">
        <v>44050</v>
      </c>
      <c r="H360" s="696">
        <v>53350</v>
      </c>
      <c r="I360" s="696">
        <v>70400</v>
      </c>
      <c r="J360" s="814">
        <v>37300</v>
      </c>
      <c r="K360" s="696">
        <v>49250</v>
      </c>
      <c r="L360" s="696">
        <v>59700</v>
      </c>
      <c r="M360" s="696">
        <v>78800</v>
      </c>
      <c r="N360" s="814">
        <v>39250</v>
      </c>
      <c r="O360" s="696">
        <v>51850</v>
      </c>
      <c r="P360" s="696">
        <v>62800</v>
      </c>
      <c r="Q360" s="696">
        <v>82900</v>
      </c>
      <c r="R360" s="814">
        <v>41250</v>
      </c>
      <c r="S360" s="696">
        <v>54450</v>
      </c>
      <c r="T360" s="696">
        <v>66000</v>
      </c>
      <c r="U360" s="696">
        <v>87150</v>
      </c>
      <c r="V360" s="843">
        <v>44050</v>
      </c>
      <c r="W360" s="844">
        <v>58150</v>
      </c>
      <c r="X360" s="844">
        <v>70500</v>
      </c>
      <c r="Y360" s="844">
        <v>93100</v>
      </c>
    </row>
    <row r="361" spans="5:25" ht="15" x14ac:dyDescent="0.25">
      <c r="E361" s="697" t="s">
        <v>562</v>
      </c>
      <c r="F361" s="696">
        <v>32350</v>
      </c>
      <c r="G361" s="696">
        <v>42750</v>
      </c>
      <c r="H361" s="696">
        <v>51750</v>
      </c>
      <c r="I361" s="696">
        <v>68300</v>
      </c>
      <c r="J361" s="814">
        <v>36150</v>
      </c>
      <c r="K361" s="696">
        <v>47750</v>
      </c>
      <c r="L361" s="696">
        <v>57850</v>
      </c>
      <c r="M361" s="696">
        <v>76350</v>
      </c>
      <c r="N361" s="814">
        <v>37400</v>
      </c>
      <c r="O361" s="696">
        <v>49400</v>
      </c>
      <c r="P361" s="696">
        <v>59850</v>
      </c>
      <c r="Q361" s="696">
        <v>79000</v>
      </c>
      <c r="R361" s="814">
        <v>37400</v>
      </c>
      <c r="S361" s="696">
        <v>49400</v>
      </c>
      <c r="T361" s="696">
        <v>59850</v>
      </c>
      <c r="U361" s="696">
        <v>79050</v>
      </c>
      <c r="V361" s="843">
        <v>38950</v>
      </c>
      <c r="W361" s="844">
        <v>51450</v>
      </c>
      <c r="X361" s="844">
        <v>62300</v>
      </c>
      <c r="Y361" s="844">
        <v>82250</v>
      </c>
    </row>
    <row r="362" spans="5:25" ht="15" x14ac:dyDescent="0.25">
      <c r="E362" s="697" t="s">
        <v>563</v>
      </c>
      <c r="F362" s="696">
        <v>42150</v>
      </c>
      <c r="G362" s="696">
        <v>55650</v>
      </c>
      <c r="H362" s="696">
        <v>67450</v>
      </c>
      <c r="I362" s="696">
        <v>89050</v>
      </c>
      <c r="J362" s="814">
        <v>42800</v>
      </c>
      <c r="K362" s="696">
        <v>56500</v>
      </c>
      <c r="L362" s="696">
        <v>68500</v>
      </c>
      <c r="M362" s="696">
        <v>90400</v>
      </c>
      <c r="N362" s="814">
        <v>42800</v>
      </c>
      <c r="O362" s="696">
        <v>56500</v>
      </c>
      <c r="P362" s="696">
        <v>68500</v>
      </c>
      <c r="Q362" s="696">
        <v>90400</v>
      </c>
      <c r="R362" s="814">
        <v>42800</v>
      </c>
      <c r="S362" s="696">
        <v>56500</v>
      </c>
      <c r="T362" s="696">
        <v>68500</v>
      </c>
      <c r="U362" s="696">
        <v>90450</v>
      </c>
      <c r="V362" s="843">
        <v>44650</v>
      </c>
      <c r="W362" s="844">
        <v>58950</v>
      </c>
      <c r="X362" s="844">
        <v>71450</v>
      </c>
      <c r="Y362" s="844">
        <v>94350</v>
      </c>
    </row>
    <row r="363" spans="5:25" ht="15" x14ac:dyDescent="0.25">
      <c r="E363" s="697" t="s">
        <v>564</v>
      </c>
      <c r="F363" s="696">
        <v>38100</v>
      </c>
      <c r="G363" s="696">
        <v>50300</v>
      </c>
      <c r="H363" s="696">
        <v>60950</v>
      </c>
      <c r="I363" s="696">
        <v>80450</v>
      </c>
      <c r="J363" s="814">
        <v>40850</v>
      </c>
      <c r="K363" s="696">
        <v>53950</v>
      </c>
      <c r="L363" s="696">
        <v>65350</v>
      </c>
      <c r="M363" s="696">
        <v>86250</v>
      </c>
      <c r="N363" s="814">
        <v>40850</v>
      </c>
      <c r="O363" s="696">
        <v>53950</v>
      </c>
      <c r="P363" s="696">
        <v>65350</v>
      </c>
      <c r="Q363" s="696">
        <v>86250</v>
      </c>
      <c r="R363" s="814">
        <v>40850</v>
      </c>
      <c r="S363" s="696">
        <v>53950</v>
      </c>
      <c r="T363" s="696">
        <v>65350</v>
      </c>
      <c r="U363" s="696">
        <v>86300</v>
      </c>
      <c r="V363" s="843">
        <v>41450</v>
      </c>
      <c r="W363" s="844">
        <v>54700</v>
      </c>
      <c r="X363" s="844">
        <v>66300</v>
      </c>
      <c r="Y363" s="844">
        <v>87550</v>
      </c>
    </row>
    <row r="364" spans="5:25" ht="15" x14ac:dyDescent="0.25">
      <c r="E364" s="697" t="s">
        <v>565</v>
      </c>
      <c r="F364" s="696">
        <v>43050</v>
      </c>
      <c r="G364" s="696">
        <v>56850</v>
      </c>
      <c r="H364" s="696">
        <v>68900</v>
      </c>
      <c r="I364" s="696">
        <v>90950</v>
      </c>
      <c r="J364" s="814">
        <v>48150</v>
      </c>
      <c r="K364" s="696">
        <v>63600</v>
      </c>
      <c r="L364" s="696">
        <v>77050</v>
      </c>
      <c r="M364" s="696">
        <v>101700</v>
      </c>
      <c r="N364" s="814">
        <v>51000</v>
      </c>
      <c r="O364" s="696">
        <v>67350</v>
      </c>
      <c r="P364" s="696">
        <v>81600</v>
      </c>
      <c r="Q364" s="696">
        <v>107700</v>
      </c>
      <c r="R364" s="814">
        <v>53250</v>
      </c>
      <c r="S364" s="696">
        <v>70300</v>
      </c>
      <c r="T364" s="696">
        <v>85200</v>
      </c>
      <c r="U364" s="696">
        <v>112500</v>
      </c>
      <c r="V364" s="843">
        <v>56650</v>
      </c>
      <c r="W364" s="844">
        <v>74800</v>
      </c>
      <c r="X364" s="844">
        <v>90650</v>
      </c>
      <c r="Y364" s="844">
        <v>119700</v>
      </c>
    </row>
    <row r="365" spans="5:25" ht="15" x14ac:dyDescent="0.25">
      <c r="E365" s="697" t="s">
        <v>1512</v>
      </c>
      <c r="F365" s="696">
        <v>44500</v>
      </c>
      <c r="G365" s="696">
        <v>58750</v>
      </c>
      <c r="H365" s="696">
        <v>71200</v>
      </c>
      <c r="I365" s="696">
        <v>94000</v>
      </c>
      <c r="J365" s="814">
        <v>48700</v>
      </c>
      <c r="K365" s="696">
        <v>64300</v>
      </c>
      <c r="L365" s="696">
        <v>77900</v>
      </c>
      <c r="M365" s="696">
        <v>102850</v>
      </c>
      <c r="N365" s="814">
        <v>51550</v>
      </c>
      <c r="O365" s="696">
        <v>68050</v>
      </c>
      <c r="P365" s="696">
        <v>82500</v>
      </c>
      <c r="Q365" s="696">
        <v>108900</v>
      </c>
      <c r="R365" s="814">
        <v>55150</v>
      </c>
      <c r="S365" s="696">
        <v>72800</v>
      </c>
      <c r="T365" s="696">
        <v>88250</v>
      </c>
      <c r="U365" s="696">
        <v>116500</v>
      </c>
      <c r="V365" s="843">
        <v>58650</v>
      </c>
      <c r="W365" s="844">
        <v>77450</v>
      </c>
      <c r="X365" s="844">
        <v>93850</v>
      </c>
      <c r="Y365" s="844">
        <v>123900</v>
      </c>
    </row>
    <row r="366" spans="5:25" s="819" customFormat="1" ht="15" x14ac:dyDescent="0.25">
      <c r="E366" s="816" t="s">
        <v>797</v>
      </c>
      <c r="F366" s="817"/>
      <c r="G366" s="817"/>
      <c r="H366" s="817"/>
      <c r="I366" s="817"/>
      <c r="J366" s="818"/>
      <c r="N366" s="820"/>
      <c r="O366" s="821"/>
      <c r="P366" s="821"/>
      <c r="Q366" s="821"/>
      <c r="R366" s="820"/>
      <c r="S366" s="821"/>
      <c r="T366" s="821"/>
      <c r="U366" s="821"/>
      <c r="V366" s="845"/>
      <c r="W366" s="846"/>
      <c r="X366" s="846"/>
      <c r="Y366" s="846"/>
    </row>
  </sheetData>
  <sheetProtection algorithmName="SHA-512" hashValue="LDJGFa2n0MzsHqziiyzC8Vt7x2GS/NT/3m/z5YJr+7KhZ7vYlb8bl3CXFcYGq+VeUa/m6+o8EmgAbmwcQ/u5xw==" saltValue="+39EI3X11W60lXybVAgj5A==" spinCount="100000" sheet="1" objects="1" scenarios="1"/>
  <mergeCells count="1">
    <mergeCell ref="B2:C2"/>
  </mergeCells>
  <pageMargins left="0.7" right="0.7" top="0.75" bottom="0.75" header="0.3" footer="0.3"/>
  <pageSetup orientation="portrait" horizontalDpi="200" verticalDpi="20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codeName="Sheet18"/>
  <dimension ref="A1:H176"/>
  <sheetViews>
    <sheetView workbookViewId="0"/>
  </sheetViews>
  <sheetFormatPr defaultRowHeight="12.75" x14ac:dyDescent="0.2"/>
  <cols>
    <col min="1" max="1" width="45" style="101" bestFit="1" customWidth="1"/>
    <col min="2" max="2" width="35.7109375" bestFit="1" customWidth="1"/>
  </cols>
  <sheetData>
    <row r="1" spans="1:2" ht="15" x14ac:dyDescent="0.25">
      <c r="A1" s="300" t="s">
        <v>669</v>
      </c>
      <c r="B1" s="6"/>
    </row>
    <row r="2" spans="1:2" ht="15" x14ac:dyDescent="0.25">
      <c r="A2" s="301" t="s">
        <v>670</v>
      </c>
      <c r="B2" s="4">
        <f>'Project Information'!B6</f>
        <v>0</v>
      </c>
    </row>
    <row r="3" spans="1:2" ht="15" x14ac:dyDescent="0.25">
      <c r="A3" s="302" t="s">
        <v>44</v>
      </c>
      <c r="B3" s="5" t="s">
        <v>671</v>
      </c>
    </row>
    <row r="4" spans="1:2" ht="15" x14ac:dyDescent="0.25">
      <c r="A4" s="301" t="s">
        <v>672</v>
      </c>
      <c r="B4" s="4">
        <f>'Project Information'!B10:C10</f>
        <v>0</v>
      </c>
    </row>
    <row r="5" spans="1:2" ht="15" x14ac:dyDescent="0.25">
      <c r="A5" s="301" t="s">
        <v>717</v>
      </c>
      <c r="B5" s="4">
        <f>'Project Information'!C12</f>
        <v>0</v>
      </c>
    </row>
    <row r="6" spans="1:2" ht="15" x14ac:dyDescent="0.25">
      <c r="A6" s="302" t="s">
        <v>673</v>
      </c>
      <c r="B6" s="4"/>
    </row>
    <row r="7" spans="1:2" ht="15" x14ac:dyDescent="0.25">
      <c r="A7" s="302" t="s">
        <v>674</v>
      </c>
      <c r="B7" s="4">
        <f>'Project Information'!B7:E7</f>
        <v>0</v>
      </c>
    </row>
    <row r="8" spans="1:2" ht="15" x14ac:dyDescent="0.25">
      <c r="A8" s="302" t="s">
        <v>115</v>
      </c>
      <c r="B8" s="4" t="str">
        <f>'Project Information'!B8:C8</f>
        <v/>
      </c>
    </row>
    <row r="9" spans="1:2" ht="15" x14ac:dyDescent="0.25">
      <c r="A9" s="302" t="s">
        <v>675</v>
      </c>
      <c r="B9" s="13">
        <f>'Rental Project Worksheet'!D61</f>
        <v>0</v>
      </c>
    </row>
    <row r="10" spans="1:2" ht="15" x14ac:dyDescent="0.25">
      <c r="A10" s="302" t="s">
        <v>2</v>
      </c>
      <c r="B10" s="13">
        <f>'Rental Project Worksheet'!D60</f>
        <v>0</v>
      </c>
    </row>
    <row r="11" spans="1:2" ht="15" x14ac:dyDescent="0.25">
      <c r="A11" s="302" t="s">
        <v>676</v>
      </c>
      <c r="B11" s="13">
        <f>'Rental Project Worksheet'!H62</f>
        <v>0</v>
      </c>
    </row>
    <row r="12" spans="1:2" ht="15" x14ac:dyDescent="0.25">
      <c r="A12" s="302" t="s">
        <v>677</v>
      </c>
      <c r="B12" s="13">
        <f>'Rental Project Worksheet'!H61</f>
        <v>0</v>
      </c>
    </row>
    <row r="13" spans="1:2" ht="15" x14ac:dyDescent="0.25">
      <c r="A13" s="302" t="s">
        <v>7</v>
      </c>
      <c r="B13" s="8" t="str">
        <f>IF('Development Budget Worksheet'!C6-'Development Budget Worksheet'!D6=0,"",'Development Budget Worksheet'!C6-'Development Budget Worksheet'!D6)</f>
        <v/>
      </c>
    </row>
    <row r="14" spans="1:2" ht="15" x14ac:dyDescent="0.25">
      <c r="A14" s="302" t="s">
        <v>8</v>
      </c>
      <c r="B14" s="8" t="str">
        <f>IF('Development Budget Worksheet'!C7-'Development Budget Worksheet'!D7=0,"",'Development Budget Worksheet'!C7-'Development Budget Worksheet'!D7)</f>
        <v/>
      </c>
    </row>
    <row r="15" spans="1:2" ht="15" x14ac:dyDescent="0.25">
      <c r="A15" s="302" t="s">
        <v>1435</v>
      </c>
      <c r="B15" s="8" t="str">
        <f>IF('Development Budget Worksheet'!C8-'Development Budget Worksheet'!D8=0,"",'Development Budget Worksheet'!C8-'Development Budget Worksheet'!D8)</f>
        <v/>
      </c>
    </row>
    <row r="16" spans="1:2" ht="15" x14ac:dyDescent="0.25">
      <c r="A16" s="302" t="s">
        <v>24</v>
      </c>
      <c r="B16" s="8" t="str">
        <f>IF('Development Budget Worksheet'!C9-'Development Budget Worksheet'!D9=0,"",'Development Budget Worksheet'!C9-'Development Budget Worksheet'!D9)</f>
        <v/>
      </c>
    </row>
    <row r="17" spans="1:2" ht="15" x14ac:dyDescent="0.25">
      <c r="A17" s="302" t="s">
        <v>23</v>
      </c>
      <c r="B17" s="8" t="str">
        <f>IF('Development Budget Worksheet'!C10-'Development Budget Worksheet'!D10=0,"",'Development Budget Worksheet'!C10-'Development Budget Worksheet'!D10)</f>
        <v/>
      </c>
    </row>
    <row r="18" spans="1:2" ht="15" x14ac:dyDescent="0.25">
      <c r="A18" s="302" t="s">
        <v>651</v>
      </c>
      <c r="B18" s="8" t="str">
        <f>IF('Development Budget Worksheet'!C11-'Development Budget Worksheet'!D11=0,"",'Development Budget Worksheet'!C11-'Development Budget Worksheet'!D11)</f>
        <v/>
      </c>
    </row>
    <row r="19" spans="1:2" ht="15" x14ac:dyDescent="0.25">
      <c r="A19" s="302" t="s">
        <v>108</v>
      </c>
      <c r="B19" s="8" t="str">
        <f>IF('Development Budget Worksheet'!C15-'Development Budget Worksheet'!D15=0,"",'Development Budget Worksheet'!C15-'Development Budget Worksheet'!D15)</f>
        <v/>
      </c>
    </row>
    <row r="20" spans="1:2" ht="15" x14ac:dyDescent="0.25">
      <c r="A20" s="302" t="s">
        <v>75</v>
      </c>
      <c r="B20" s="8" t="str">
        <f>IF('Development Budget Worksheet'!C16-'Development Budget Worksheet'!D16=0,"",'Development Budget Worksheet'!C16-'Development Budget Worksheet'!D16)</f>
        <v/>
      </c>
    </row>
    <row r="21" spans="1:2" ht="15" x14ac:dyDescent="0.25">
      <c r="A21" s="302" t="s">
        <v>11</v>
      </c>
      <c r="B21" s="8" t="str">
        <f>IF('Development Budget Worksheet'!C17-'Development Budget Worksheet'!D17=0,"",'Development Budget Worksheet'!C17-'Development Budget Worksheet'!D17)</f>
        <v/>
      </c>
    </row>
    <row r="22" spans="1:2" ht="15" x14ac:dyDescent="0.25">
      <c r="A22" s="302" t="s">
        <v>1436</v>
      </c>
      <c r="B22" s="8" t="str">
        <f>IF('Development Budget Worksheet'!C18-'Development Budget Worksheet'!D18=0,"",'Development Budget Worksheet'!C18-'Development Budget Worksheet'!D18)</f>
        <v/>
      </c>
    </row>
    <row r="23" spans="1:2" ht="15" x14ac:dyDescent="0.25">
      <c r="A23" s="302" t="s">
        <v>109</v>
      </c>
      <c r="B23" s="8" t="str">
        <f>IF('Development Budget Worksheet'!C19-'Development Budget Worksheet'!D19=0,"",'Development Budget Worksheet'!C19-'Development Budget Worksheet'!D19)</f>
        <v/>
      </c>
    </row>
    <row r="24" spans="1:2" ht="15" x14ac:dyDescent="0.25">
      <c r="A24" s="302" t="s">
        <v>110</v>
      </c>
      <c r="B24" s="8" t="str">
        <f>IF('Development Budget Worksheet'!C20-'Development Budget Worksheet'!D20=0,"",'Development Budget Worksheet'!C20-'Development Budget Worksheet'!D20)</f>
        <v/>
      </c>
    </row>
    <row r="25" spans="1:2" ht="15" x14ac:dyDescent="0.25">
      <c r="A25" s="302" t="s">
        <v>111</v>
      </c>
      <c r="B25" s="8" t="str">
        <f>IF('Development Budget Worksheet'!C21-'Development Budget Worksheet'!D21=0,"",'Development Budget Worksheet'!C21-'Development Budget Worksheet'!D21)</f>
        <v/>
      </c>
    </row>
    <row r="26" spans="1:2" ht="15" x14ac:dyDescent="0.25">
      <c r="A26" s="302" t="s">
        <v>112</v>
      </c>
      <c r="B26" s="8" t="str">
        <f>IF('Development Budget Worksheet'!C22-'Development Budget Worksheet'!D22=0,"",'Development Budget Worksheet'!C22-'Development Budget Worksheet'!D22)</f>
        <v/>
      </c>
    </row>
    <row r="27" spans="1:2" ht="15" x14ac:dyDescent="0.25">
      <c r="A27" s="302" t="s">
        <v>113</v>
      </c>
      <c r="B27" s="8" t="str">
        <f>IF('Development Budget Worksheet'!C23-'Development Budget Worksheet'!D23=0,"",'Development Budget Worksheet'!C23-'Development Budget Worksheet'!D23)</f>
        <v/>
      </c>
    </row>
    <row r="28" spans="1:2" ht="15" x14ac:dyDescent="0.25">
      <c r="A28" s="302" t="s">
        <v>651</v>
      </c>
      <c r="B28" s="8" t="str">
        <f>IF('Development Budget Worksheet'!C24-'Development Budget Worksheet'!D24=0,"",'Development Budget Worksheet'!C24-'Development Budget Worksheet'!D24)</f>
        <v/>
      </c>
    </row>
    <row r="29" spans="1:2" ht="15" x14ac:dyDescent="0.25">
      <c r="A29" s="302" t="s">
        <v>93</v>
      </c>
      <c r="B29" s="8" t="str">
        <f>IF('Development Budget Worksheet'!C28-'Development Budget Worksheet'!D28=0,"",'Development Budget Worksheet'!C28-'Development Budget Worksheet'!D28)</f>
        <v/>
      </c>
    </row>
    <row r="30" spans="1:2" ht="15" x14ac:dyDescent="0.25">
      <c r="A30" s="302" t="s">
        <v>13</v>
      </c>
      <c r="B30" s="8" t="str">
        <f>IF('Development Budget Worksheet'!C29-'Development Budget Worksheet'!D29=0,"",'Development Budget Worksheet'!C29-'Development Budget Worksheet'!D29)</f>
        <v/>
      </c>
    </row>
    <row r="31" spans="1:2" ht="15" x14ac:dyDescent="0.25">
      <c r="A31" s="302" t="s">
        <v>1437</v>
      </c>
      <c r="B31" s="8" t="str">
        <f>IF('Development Budget Worksheet'!C30-'Development Budget Worksheet'!D30=0,"",'Development Budget Worksheet'!C30-'Development Budget Worksheet'!D30)</f>
        <v/>
      </c>
    </row>
    <row r="32" spans="1:2" ht="15" x14ac:dyDescent="0.25">
      <c r="A32" s="302" t="s">
        <v>94</v>
      </c>
      <c r="B32" s="8" t="str">
        <f>IF('Development Budget Worksheet'!C31-'Development Budget Worksheet'!D31=0,"",'Development Budget Worksheet'!C31-'Development Budget Worksheet'!D31)</f>
        <v/>
      </c>
    </row>
    <row r="33" spans="1:2" ht="15" x14ac:dyDescent="0.25">
      <c r="A33" s="302" t="s">
        <v>733</v>
      </c>
      <c r="B33" s="8" t="str">
        <f>IF('Development Budget Worksheet'!C32-'Development Budget Worksheet'!D32=0,"",'Development Budget Worksheet'!C32-'Development Budget Worksheet'!D32)</f>
        <v/>
      </c>
    </row>
    <row r="34" spans="1:2" ht="15" x14ac:dyDescent="0.25">
      <c r="A34" s="302" t="s">
        <v>734</v>
      </c>
      <c r="B34" s="8" t="str">
        <f>IF('Development Budget Worksheet'!C33-'Development Budget Worksheet'!D33=0,"",'Development Budget Worksheet'!C33-'Development Budget Worksheet'!D33)</f>
        <v/>
      </c>
    </row>
    <row r="35" spans="1:2" ht="15" x14ac:dyDescent="0.25">
      <c r="A35" s="302" t="s">
        <v>95</v>
      </c>
      <c r="B35" s="8" t="str">
        <f>IF('Development Budget Worksheet'!C34-'Development Budget Worksheet'!D34=0,"",'Development Budget Worksheet'!C34-'Development Budget Worksheet'!D34)</f>
        <v/>
      </c>
    </row>
    <row r="36" spans="1:2" ht="15" x14ac:dyDescent="0.25">
      <c r="A36" s="302" t="s">
        <v>96</v>
      </c>
      <c r="B36" s="8" t="str">
        <f>IF('Development Budget Worksheet'!C35-'Development Budget Worksheet'!D35=0,"",'Development Budget Worksheet'!C35-'Development Budget Worksheet'!D35)</f>
        <v/>
      </c>
    </row>
    <row r="37" spans="1:2" ht="15" x14ac:dyDescent="0.25">
      <c r="A37" s="302" t="s">
        <v>14</v>
      </c>
      <c r="B37" s="8" t="str">
        <f>IF('Development Budget Worksheet'!C36-'Development Budget Worksheet'!D36=0,"",'Development Budget Worksheet'!C36-'Development Budget Worksheet'!D36)</f>
        <v/>
      </c>
    </row>
    <row r="38" spans="1:2" ht="15" x14ac:dyDescent="0.25">
      <c r="A38" s="302" t="s">
        <v>718</v>
      </c>
      <c r="B38" s="8" t="str">
        <f>IF('Development Budget Worksheet'!C37-'Development Budget Worksheet'!D37=0,"",'Development Budget Worksheet'!C37-'Development Budget Worksheet'!D37)</f>
        <v/>
      </c>
    </row>
    <row r="39" spans="1:2" ht="15" x14ac:dyDescent="0.25">
      <c r="A39" s="302" t="s">
        <v>651</v>
      </c>
      <c r="B39" s="8" t="str">
        <f>IF('Development Budget Worksheet'!C39-'Development Budget Worksheet'!D39=0,"",'Development Budget Worksheet'!C39-'Development Budget Worksheet'!D39)</f>
        <v/>
      </c>
    </row>
    <row r="40" spans="1:2" ht="15" x14ac:dyDescent="0.25">
      <c r="A40" s="302" t="s">
        <v>1438</v>
      </c>
      <c r="B40" s="8" t="str">
        <f>IF('Development Budget Worksheet'!C43-'Development Budget Worksheet'!D43=0,"",'Development Budget Worksheet'!C43-'Development Budget Worksheet'!D43)</f>
        <v/>
      </c>
    </row>
    <row r="41" spans="1:2" ht="15" x14ac:dyDescent="0.25">
      <c r="A41" s="302" t="s">
        <v>12</v>
      </c>
      <c r="B41" s="8" t="str">
        <f>IF('Development Budget Worksheet'!C44-'Development Budget Worksheet'!D44=0,"",'Development Budget Worksheet'!C44-'Development Budget Worksheet'!D44)</f>
        <v/>
      </c>
    </row>
    <row r="42" spans="1:2" ht="15" x14ac:dyDescent="0.25">
      <c r="A42" s="302" t="s">
        <v>1439</v>
      </c>
      <c r="B42" s="8" t="str">
        <f>IF('Development Budget Worksheet'!C45-'Development Budget Worksheet'!D45=0,"",'Development Budget Worksheet'!C45-'Development Budget Worksheet'!D45)</f>
        <v/>
      </c>
    </row>
    <row r="43" spans="1:2" ht="15" x14ac:dyDescent="0.25">
      <c r="A43" s="302" t="s">
        <v>1440</v>
      </c>
      <c r="B43" s="8" t="str">
        <f>IF('Development Budget Worksheet'!C46-'Development Budget Worksheet'!D46=0,"",'Development Budget Worksheet'!C46-'Development Budget Worksheet'!D46)</f>
        <v/>
      </c>
    </row>
    <row r="44" spans="1:2" ht="15" x14ac:dyDescent="0.25">
      <c r="A44" s="302" t="s">
        <v>1441</v>
      </c>
      <c r="B44" s="8" t="str">
        <f>IF('Development Budget Worksheet'!C47-'Development Budget Worksheet'!D47=0,"",'Development Budget Worksheet'!C47-'Development Budget Worksheet'!D47)</f>
        <v/>
      </c>
    </row>
    <row r="45" spans="1:2" ht="15" x14ac:dyDescent="0.25">
      <c r="A45" s="302" t="s">
        <v>97</v>
      </c>
      <c r="B45" s="8" t="str">
        <f>IF('Development Budget Worksheet'!C48-'Development Budget Worksheet'!D48=0,"",'Development Budget Worksheet'!C48-'Development Budget Worksheet'!D48)</f>
        <v/>
      </c>
    </row>
    <row r="46" spans="1:2" ht="15" x14ac:dyDescent="0.25">
      <c r="A46" s="302" t="s">
        <v>98</v>
      </c>
      <c r="B46" s="8" t="str">
        <f>IF('Development Budget Worksheet'!C49-'Development Budget Worksheet'!D49=0,"",'Development Budget Worksheet'!C49-'Development Budget Worksheet'!D49)</f>
        <v/>
      </c>
    </row>
    <row r="47" spans="1:2" ht="15" x14ac:dyDescent="0.25">
      <c r="A47" s="302" t="s">
        <v>651</v>
      </c>
      <c r="B47" s="8" t="str">
        <f>IF('Development Budget Worksheet'!C50-'Development Budget Worksheet'!D50=0,"",'Development Budget Worksheet'!C50-'Development Budget Worksheet'!D50)</f>
        <v/>
      </c>
    </row>
    <row r="48" spans="1:2" ht="15" x14ac:dyDescent="0.25">
      <c r="A48" s="302" t="s">
        <v>99</v>
      </c>
      <c r="B48" s="8" t="str">
        <f>IF('Development Budget Worksheet'!C54-'Development Budget Worksheet'!D54=0,"",'Development Budget Worksheet'!C54-'Development Budget Worksheet'!D54)</f>
        <v/>
      </c>
    </row>
    <row r="49" spans="1:2" ht="15" x14ac:dyDescent="0.25">
      <c r="A49" s="302" t="s">
        <v>17</v>
      </c>
      <c r="B49" s="8" t="str">
        <f>IF('Development Budget Worksheet'!C55-'Development Budget Worksheet'!D55=0,"",'Development Budget Worksheet'!C55-'Development Budget Worksheet'!D55)</f>
        <v/>
      </c>
    </row>
    <row r="50" spans="1:2" ht="15" x14ac:dyDescent="0.25">
      <c r="A50" s="302" t="s">
        <v>18</v>
      </c>
      <c r="B50" s="8" t="str">
        <f>IF('Development Budget Worksheet'!C56-'Development Budget Worksheet'!D56=0,"",'Development Budget Worksheet'!C56-'Development Budget Worksheet'!D56)</f>
        <v/>
      </c>
    </row>
    <row r="51" spans="1:2" ht="15" x14ac:dyDescent="0.25">
      <c r="A51" s="302" t="s">
        <v>19</v>
      </c>
      <c r="B51" s="8" t="str">
        <f>IF('Development Budget Worksheet'!C57-'Development Budget Worksheet'!D57=0,"",'Development Budget Worksheet'!C57-'Development Budget Worksheet'!D57)</f>
        <v/>
      </c>
    </row>
    <row r="52" spans="1:2" ht="15" x14ac:dyDescent="0.25">
      <c r="A52" s="302" t="s">
        <v>100</v>
      </c>
      <c r="B52" s="8" t="str">
        <f>IF('Development Budget Worksheet'!C58-'Development Budget Worksheet'!D58=0,"",'Development Budget Worksheet'!C58-'Development Budget Worksheet'!D58)</f>
        <v/>
      </c>
    </row>
    <row r="53" spans="1:2" ht="15" x14ac:dyDescent="0.25">
      <c r="A53" s="302" t="s">
        <v>1442</v>
      </c>
      <c r="B53" s="8" t="str">
        <f>IF('Development Budget Worksheet'!C59-'Development Budget Worksheet'!D59=0,"",'Development Budget Worksheet'!C59-'Development Budget Worksheet'!D59)</f>
        <v/>
      </c>
    </row>
    <row r="54" spans="1:2" ht="15" x14ac:dyDescent="0.25">
      <c r="A54" s="302" t="s">
        <v>20</v>
      </c>
      <c r="B54" s="8" t="str">
        <f>IF('Development Budget Worksheet'!C60-'Development Budget Worksheet'!D60=0,"",'Development Budget Worksheet'!C60-'Development Budget Worksheet'!D60)</f>
        <v/>
      </c>
    </row>
    <row r="55" spans="1:2" ht="15" x14ac:dyDescent="0.25">
      <c r="A55" s="302" t="s">
        <v>21</v>
      </c>
      <c r="B55" s="8" t="str">
        <f>IF('Development Budget Worksheet'!C61-'Development Budget Worksheet'!D61=0,"",'Development Budget Worksheet'!C61-'Development Budget Worksheet'!D61)</f>
        <v/>
      </c>
    </row>
    <row r="56" spans="1:2" ht="15" x14ac:dyDescent="0.25">
      <c r="A56" s="302" t="s">
        <v>22</v>
      </c>
      <c r="B56" s="8" t="str">
        <f>IF('Development Budget Worksheet'!C62-'Development Budget Worksheet'!D62=0,"",'Development Budget Worksheet'!C62-'Development Budget Worksheet'!D62)</f>
        <v/>
      </c>
    </row>
    <row r="57" spans="1:2" ht="15" x14ac:dyDescent="0.25">
      <c r="A57" s="302" t="s">
        <v>23</v>
      </c>
      <c r="B57" s="8" t="str">
        <f>IF('Development Budget Worksheet'!C63-'Development Budget Worksheet'!D63=0,"",'Development Budget Worksheet'!C63-'Development Budget Worksheet'!D63)</f>
        <v/>
      </c>
    </row>
    <row r="58" spans="1:2" ht="15" x14ac:dyDescent="0.25">
      <c r="A58" s="302" t="s">
        <v>101</v>
      </c>
      <c r="B58" s="8" t="str">
        <f>IF('Development Budget Worksheet'!C64-'Development Budget Worksheet'!D64=0,"",'Development Budget Worksheet'!C64-'Development Budget Worksheet'!D64)</f>
        <v/>
      </c>
    </row>
    <row r="59" spans="1:2" ht="15" x14ac:dyDescent="0.25">
      <c r="A59" s="302" t="s">
        <v>68</v>
      </c>
      <c r="B59" s="8" t="str">
        <f>IF('Development Budget Worksheet'!C65-'Development Budget Worksheet'!D65=0,"",'Development Budget Worksheet'!C65-'Development Budget Worksheet'!D65)</f>
        <v/>
      </c>
    </row>
    <row r="60" spans="1:2" ht="15" x14ac:dyDescent="0.25">
      <c r="A60" s="302" t="s">
        <v>651</v>
      </c>
      <c r="B60" s="8" t="str">
        <f>IF('Development Budget Worksheet'!C66-'Development Budget Worksheet'!D66=0,"",'Development Budget Worksheet'!C66-'Development Budget Worksheet'!D66)</f>
        <v/>
      </c>
    </row>
    <row r="61" spans="1:2" ht="15" x14ac:dyDescent="0.25">
      <c r="A61" s="302" t="s">
        <v>26</v>
      </c>
      <c r="B61" s="8" t="str">
        <f>IF('Development Budget Worksheet'!C70-'Development Budget Worksheet'!D70=0,"",'Development Budget Worksheet'!C70-'Development Budget Worksheet'!D70)</f>
        <v/>
      </c>
    </row>
    <row r="62" spans="1:2" ht="15" x14ac:dyDescent="0.25">
      <c r="A62" s="302" t="s">
        <v>590</v>
      </c>
      <c r="B62" s="8" t="str">
        <f>IF('Development Budget Worksheet'!C71-'Development Budget Worksheet'!D71=0,"",'Development Budget Worksheet'!C71-'Development Budget Worksheet'!D71)</f>
        <v/>
      </c>
    </row>
    <row r="63" spans="1:2" ht="15" x14ac:dyDescent="0.25">
      <c r="A63" s="302" t="s">
        <v>19</v>
      </c>
      <c r="B63" s="8" t="str">
        <f>IF('Development Budget Worksheet'!C72-'Development Budget Worksheet'!D72=0,"",'Development Budget Worksheet'!C72-'Development Budget Worksheet'!D72)</f>
        <v/>
      </c>
    </row>
    <row r="64" spans="1:2" ht="15" x14ac:dyDescent="0.25">
      <c r="A64" s="302" t="s">
        <v>20</v>
      </c>
      <c r="B64" s="8" t="str">
        <f>IF('Development Budget Worksheet'!C73-'Development Budget Worksheet'!D73=0,"",'Development Budget Worksheet'!C73-'Development Budget Worksheet'!D73)</f>
        <v/>
      </c>
    </row>
    <row r="65" spans="1:2" ht="15" x14ac:dyDescent="0.25">
      <c r="A65" s="302" t="s">
        <v>1443</v>
      </c>
      <c r="B65" s="8" t="str">
        <f>IF('Development Budget Worksheet'!C74-'Development Budget Worksheet'!D74=0,"",'Development Budget Worksheet'!C74-'Development Budget Worksheet'!D74)</f>
        <v/>
      </c>
    </row>
    <row r="66" spans="1:2" ht="15" x14ac:dyDescent="0.25">
      <c r="A66" s="302" t="s">
        <v>27</v>
      </c>
      <c r="B66" s="8" t="str">
        <f>IF('Development Budget Worksheet'!C75-'Development Budget Worksheet'!D75=0,"",'Development Budget Worksheet'!C75-'Development Budget Worksheet'!D75)</f>
        <v/>
      </c>
    </row>
    <row r="67" spans="1:2" ht="15" x14ac:dyDescent="0.25">
      <c r="A67" s="302" t="s">
        <v>23</v>
      </c>
      <c r="B67" s="8" t="str">
        <f>IF('Development Budget Worksheet'!C76-'Development Budget Worksheet'!D76=0,"",'Development Budget Worksheet'!C76-'Development Budget Worksheet'!D76)</f>
        <v/>
      </c>
    </row>
    <row r="68" spans="1:2" ht="15" x14ac:dyDescent="0.25">
      <c r="A68" s="302" t="s">
        <v>28</v>
      </c>
      <c r="B68" s="8" t="str">
        <f>IF('Development Budget Worksheet'!C77-'Development Budget Worksheet'!D77=0,"",'Development Budget Worksheet'!C77-'Development Budget Worksheet'!D77)</f>
        <v/>
      </c>
    </row>
    <row r="69" spans="1:2" ht="15" x14ac:dyDescent="0.25">
      <c r="A69" s="302" t="s">
        <v>651</v>
      </c>
      <c r="B69" s="8" t="str">
        <f>IF('Development Budget Worksheet'!C78-'Development Budget Worksheet'!D78=0,"",'Development Budget Worksheet'!C78-'Development Budget Worksheet'!D78)</f>
        <v/>
      </c>
    </row>
    <row r="70" spans="1:2" ht="15" x14ac:dyDescent="0.25">
      <c r="A70" s="302" t="s">
        <v>574</v>
      </c>
      <c r="B70" s="8" t="str">
        <f>IF('Development Budget Worksheet'!C82-'Development Budget Worksheet'!D82=0,"",'Development Budget Worksheet'!C82-'Development Budget Worksheet'!D82)</f>
        <v/>
      </c>
    </row>
    <row r="71" spans="1:2" ht="15" x14ac:dyDescent="0.25">
      <c r="A71" s="302" t="s">
        <v>30</v>
      </c>
      <c r="B71" s="8" t="str">
        <f>IF('Development Budget Worksheet'!C83-'Development Budget Worksheet'!D83=0,"",'Development Budget Worksheet'!C83-'Development Budget Worksheet'!D83)</f>
        <v/>
      </c>
    </row>
    <row r="72" spans="1:2" ht="15" x14ac:dyDescent="0.25">
      <c r="A72" s="302" t="s">
        <v>31</v>
      </c>
      <c r="B72" s="8" t="str">
        <f>IF('Development Budget Worksheet'!C84-'Development Budget Worksheet'!D84=0,"",'Development Budget Worksheet'!C84-'Development Budget Worksheet'!D84)</f>
        <v/>
      </c>
    </row>
    <row r="73" spans="1:2" ht="15" x14ac:dyDescent="0.25">
      <c r="A73" s="302" t="s">
        <v>32</v>
      </c>
      <c r="B73" s="8" t="str">
        <f>IF('Development Budget Worksheet'!C85-'Development Budget Worksheet'!D85=0,"",'Development Budget Worksheet'!C85-'Development Budget Worksheet'!D85)</f>
        <v/>
      </c>
    </row>
    <row r="74" spans="1:2" ht="15" x14ac:dyDescent="0.25">
      <c r="A74" s="302" t="s">
        <v>33</v>
      </c>
      <c r="B74" s="8" t="str">
        <f>IF('Development Budget Worksheet'!C86-'Development Budget Worksheet'!D86=0,"",'Development Budget Worksheet'!C86-'Development Budget Worksheet'!D86)</f>
        <v/>
      </c>
    </row>
    <row r="75" spans="1:2" ht="15" x14ac:dyDescent="0.25">
      <c r="A75" s="302" t="s">
        <v>34</v>
      </c>
      <c r="B75" s="8" t="str">
        <f>IF('Development Budget Worksheet'!C87-'Development Budget Worksheet'!D87=0,"",'Development Budget Worksheet'!C87-'Development Budget Worksheet'!D87)</f>
        <v/>
      </c>
    </row>
    <row r="76" spans="1:2" ht="15" x14ac:dyDescent="0.25">
      <c r="A76" s="302" t="s">
        <v>67</v>
      </c>
      <c r="B76" s="8" t="str">
        <f>IF('Development Budget Worksheet'!C88-'Development Budget Worksheet'!D88=0,"",'Development Budget Worksheet'!C88-'Development Budget Worksheet'!D88)</f>
        <v/>
      </c>
    </row>
    <row r="77" spans="1:2" ht="15" x14ac:dyDescent="0.25">
      <c r="A77" s="302" t="s">
        <v>9</v>
      </c>
      <c r="B77" s="8" t="str">
        <f>IF('Development Budget Worksheet'!C89-'Development Budget Worksheet'!D89=0,"",'Development Budget Worksheet'!C89-'Development Budget Worksheet'!D89)</f>
        <v/>
      </c>
    </row>
    <row r="78" spans="1:2" ht="15" x14ac:dyDescent="0.25">
      <c r="A78" s="302" t="s">
        <v>1444</v>
      </c>
      <c r="B78" s="8" t="str">
        <f>IF('Development Budget Worksheet'!C90-'Development Budget Worksheet'!D90=0,"",'Development Budget Worksheet'!C90-'Development Budget Worksheet'!D90)</f>
        <v/>
      </c>
    </row>
    <row r="79" spans="1:2" ht="15" x14ac:dyDescent="0.25">
      <c r="A79" s="302" t="s">
        <v>651</v>
      </c>
      <c r="B79" s="8" t="str">
        <f>IF('Development Budget Worksheet'!C91-'Development Budget Worksheet'!D91=0,"",'Development Budget Worksheet'!C91-'Development Budget Worksheet'!D91)</f>
        <v/>
      </c>
    </row>
    <row r="80" spans="1:2" ht="15" x14ac:dyDescent="0.25">
      <c r="A80" s="302" t="s">
        <v>36</v>
      </c>
      <c r="B80" s="8" t="str">
        <f>IF('Development Budget Worksheet'!C95-'Development Budget Worksheet'!D95=0,"",'Development Budget Worksheet'!C95-'Development Budget Worksheet'!D95)</f>
        <v/>
      </c>
    </row>
    <row r="81" spans="1:5" ht="15" x14ac:dyDescent="0.25">
      <c r="A81" s="302" t="s">
        <v>37</v>
      </c>
      <c r="B81" s="8" t="str">
        <f>IF('Development Budget Worksheet'!C96-'Development Budget Worksheet'!D96=0,"",'Development Budget Worksheet'!C96-'Development Budget Worksheet'!D96)</f>
        <v/>
      </c>
    </row>
    <row r="82" spans="1:5" ht="15" x14ac:dyDescent="0.25">
      <c r="A82" s="302" t="s">
        <v>24</v>
      </c>
      <c r="B82" s="8" t="str">
        <f>IF('Development Budget Worksheet'!C97-'Development Budget Worksheet'!D97=0,"",'Development Budget Worksheet'!C97-'Development Budget Worksheet'!D97)</f>
        <v/>
      </c>
    </row>
    <row r="83" spans="1:5" ht="15" x14ac:dyDescent="0.25">
      <c r="A83" s="302" t="s">
        <v>38</v>
      </c>
      <c r="B83" s="8" t="str">
        <f>IF('Development Budget Worksheet'!C98-'Development Budget Worksheet'!D98=0,"",'Development Budget Worksheet'!C98-'Development Budget Worksheet'!D98)</f>
        <v/>
      </c>
    </row>
    <row r="84" spans="1:5" ht="15" x14ac:dyDescent="0.25">
      <c r="A84" s="302" t="s">
        <v>651</v>
      </c>
      <c r="B84" s="8" t="str">
        <f>IF('Development Budget Worksheet'!C99-'Development Budget Worksheet'!D99=0,"",'Development Budget Worksheet'!C99-'Development Budget Worksheet'!D99)</f>
        <v/>
      </c>
    </row>
    <row r="85" spans="1:5" ht="15" x14ac:dyDescent="0.25">
      <c r="A85" s="302" t="s">
        <v>39</v>
      </c>
      <c r="B85" s="8" t="str">
        <f>IF('Development Budget Worksheet'!C103-'Development Budget Worksheet'!D103=0,"",'Development Budget Worksheet'!C103-'Development Budget Worksheet'!D103)</f>
        <v/>
      </c>
    </row>
    <row r="86" spans="1:5" ht="15" x14ac:dyDescent="0.25">
      <c r="A86" s="302" t="s">
        <v>775</v>
      </c>
      <c r="B86" s="8" t="str">
        <f>IF('Development Budget Worksheet'!C104-'Development Budget Worksheet'!D104=0,"",'Development Budget Worksheet'!C104-'Development Budget Worksheet'!D104)</f>
        <v/>
      </c>
    </row>
    <row r="87" spans="1:5" ht="15" x14ac:dyDescent="0.25">
      <c r="A87" s="302" t="s">
        <v>651</v>
      </c>
      <c r="B87" s="8" t="str">
        <f>IF('Development Budget Worksheet'!C105-'Development Budget Worksheet'!D105=0,"",'Development Budget Worksheet'!C105-'Development Budget Worksheet'!D105)</f>
        <v/>
      </c>
    </row>
    <row r="88" spans="1:5" ht="15" x14ac:dyDescent="0.25">
      <c r="A88" s="302" t="s">
        <v>1445</v>
      </c>
      <c r="B88" s="8" t="str">
        <f>IF('Development Budget Worksheet'!C109-'Development Budget Worksheet'!D109=0,"",'Development Budget Worksheet'!C109-'Development Budget Worksheet'!D109)</f>
        <v/>
      </c>
    </row>
    <row r="89" spans="1:5" ht="15" x14ac:dyDescent="0.25">
      <c r="A89" s="302" t="s">
        <v>41</v>
      </c>
      <c r="B89" s="8" t="str">
        <f>IF('Development Budget Worksheet'!C110-'Development Budget Worksheet'!D110=0,"",'Development Budget Worksheet'!C110-'Development Budget Worksheet'!D110)</f>
        <v/>
      </c>
    </row>
    <row r="90" spans="1:5" ht="15" x14ac:dyDescent="0.25">
      <c r="A90" s="302" t="s">
        <v>42</v>
      </c>
      <c r="B90" s="8" t="str">
        <f>IF('Development Budget Worksheet'!C111-'Development Budget Worksheet'!D111=0,"",'Development Budget Worksheet'!C111-'Development Budget Worksheet'!D111)</f>
        <v/>
      </c>
    </row>
    <row r="91" spans="1:5" ht="15" x14ac:dyDescent="0.25">
      <c r="A91" s="302" t="s">
        <v>1446</v>
      </c>
      <c r="B91" s="8" t="str">
        <f>IF('Development Budget Worksheet'!C112-'Development Budget Worksheet'!D112=0,"",'Development Budget Worksheet'!C112-'Development Budget Worksheet'!D112)</f>
        <v/>
      </c>
    </row>
    <row r="92" spans="1:5" ht="15" x14ac:dyDescent="0.25">
      <c r="A92" s="302" t="s">
        <v>43</v>
      </c>
      <c r="B92" s="8" t="str">
        <f>IF('Development Budget Worksheet'!C113-'Development Budget Worksheet'!D113=0,"",'Development Budget Worksheet'!C113-'Development Budget Worksheet'!D113)</f>
        <v/>
      </c>
    </row>
    <row r="93" spans="1:5" ht="15" x14ac:dyDescent="0.25">
      <c r="A93" s="302" t="s">
        <v>1462</v>
      </c>
      <c r="B93" s="8" t="str">
        <f>IF('Development Budget Worksheet'!C114-'Development Budget Worksheet'!D114=0,"",'Development Budget Worksheet'!C114-'Development Budget Worksheet'!D114)</f>
        <v/>
      </c>
    </row>
    <row r="94" spans="1:5" ht="15" x14ac:dyDescent="0.25">
      <c r="A94" s="302" t="s">
        <v>656</v>
      </c>
      <c r="B94" s="15" t="str">
        <f>IF('Development Budget Worksheet'!C117=0,"",'Development Budget Worksheet'!C117)</f>
        <v/>
      </c>
      <c r="E94" s="17"/>
    </row>
    <row r="95" spans="1:5" ht="15" x14ac:dyDescent="0.25">
      <c r="A95" s="302" t="s">
        <v>655</v>
      </c>
      <c r="B95" s="8">
        <f>'Development Budget Worksheet'!D119</f>
        <v>0</v>
      </c>
    </row>
    <row r="96" spans="1:5" ht="15" x14ac:dyDescent="0.25">
      <c r="A96" s="302" t="s">
        <v>657</v>
      </c>
      <c r="B96" s="8">
        <f>'Development Budget Worksheet'!E121</f>
        <v>0</v>
      </c>
    </row>
    <row r="97" spans="1:3" ht="15" x14ac:dyDescent="0.25">
      <c r="A97" s="303" t="s">
        <v>132</v>
      </c>
      <c r="B97" s="782"/>
      <c r="C97" t="s">
        <v>1747</v>
      </c>
    </row>
    <row r="98" spans="1:3" ht="15" x14ac:dyDescent="0.25">
      <c r="A98" s="302" t="s">
        <v>724</v>
      </c>
      <c r="B98" s="3">
        <f>'Project Information'!B9</f>
        <v>0</v>
      </c>
    </row>
    <row r="99" spans="1:3" ht="15" x14ac:dyDescent="0.25">
      <c r="A99" s="302" t="s">
        <v>195</v>
      </c>
      <c r="B99" s="5">
        <f>'Project Information'!H8</f>
        <v>0</v>
      </c>
    </row>
    <row r="100" spans="1:3" ht="15" x14ac:dyDescent="0.25">
      <c r="A100" s="302" t="s">
        <v>678</v>
      </c>
      <c r="B100" s="5" t="e">
        <f>'Rental Project Worksheet'!D60/'Project Information'!H8</f>
        <v>#DIV/0!</v>
      </c>
    </row>
    <row r="101" spans="1:3" ht="15" x14ac:dyDescent="0.25">
      <c r="A101" s="302" t="s">
        <v>147</v>
      </c>
      <c r="B101" s="7">
        <f>'Project Information'!H9</f>
        <v>0</v>
      </c>
    </row>
    <row r="102" spans="1:3" ht="15" x14ac:dyDescent="0.25">
      <c r="A102" s="302" t="s">
        <v>196</v>
      </c>
      <c r="B102" s="7">
        <f>'Project Information'!H10</f>
        <v>0</v>
      </c>
    </row>
    <row r="103" spans="1:3" ht="15" x14ac:dyDescent="0.25">
      <c r="A103" s="302" t="s">
        <v>652</v>
      </c>
      <c r="B103" s="7">
        <f>'Project Information'!H12</f>
        <v>0</v>
      </c>
    </row>
    <row r="104" spans="1:3" ht="15" x14ac:dyDescent="0.25">
      <c r="A104" s="302" t="s">
        <v>679</v>
      </c>
      <c r="B104" s="7">
        <f>'Project Information'!H16</f>
        <v>0</v>
      </c>
    </row>
    <row r="105" spans="1:3" ht="15" x14ac:dyDescent="0.25">
      <c r="A105" s="302" t="s">
        <v>680</v>
      </c>
      <c r="B105" s="8">
        <f>'Sources of Funds Worksheet'!D8+'Sources of Funds Worksheet'!D9</f>
        <v>0</v>
      </c>
    </row>
    <row r="106" spans="1:3" ht="15" x14ac:dyDescent="0.25">
      <c r="A106" s="302" t="s">
        <v>567</v>
      </c>
      <c r="B106" s="8">
        <f>'Sources of Funds Worksheet'!D26</f>
        <v>0</v>
      </c>
    </row>
    <row r="107" spans="1:3" ht="15" x14ac:dyDescent="0.25">
      <c r="A107" s="302" t="s">
        <v>681</v>
      </c>
      <c r="B107" s="15" t="str">
        <f>IF('Sources of Funds Worksheet'!D11="","",'Sources of Funds Worksheet'!D11)</f>
        <v/>
      </c>
    </row>
    <row r="108" spans="1:3" ht="15" x14ac:dyDescent="0.25">
      <c r="A108" s="302" t="s">
        <v>682</v>
      </c>
      <c r="B108" s="8" t="str">
        <f>IF('Sources of Funds Worksheet'!D12="","",'Sources of Funds Worksheet'!D12)</f>
        <v/>
      </c>
    </row>
    <row r="109" spans="1:3" ht="15" x14ac:dyDescent="0.25">
      <c r="A109" s="302" t="s">
        <v>683</v>
      </c>
      <c r="B109" s="8" t="str">
        <f>IF('Sources of Funds Worksheet'!D13="","",'Sources of Funds Worksheet'!D13)</f>
        <v/>
      </c>
    </row>
    <row r="110" spans="1:3" ht="15" x14ac:dyDescent="0.25">
      <c r="A110" s="302" t="s">
        <v>684</v>
      </c>
      <c r="B110" s="15" t="str">
        <f>IF(SUMIF('Sources of Funds Worksheet'!C14:C22,"Grant",'Sources of Funds Worksheet'!D14:D22)=0,"",SUMIF('Sources of Funds Worksheet'!C14:C22,"Grant",'Sources of Funds Worksheet'!D14:D22))</f>
        <v/>
      </c>
    </row>
    <row r="111" spans="1:3" ht="15" x14ac:dyDescent="0.25">
      <c r="A111" s="305" t="s">
        <v>73</v>
      </c>
      <c r="B111" s="14">
        <f>'Sources of Funds Worksheet'!L25</f>
        <v>0</v>
      </c>
    </row>
    <row r="112" spans="1:3" ht="15" x14ac:dyDescent="0.25">
      <c r="A112" s="302" t="s">
        <v>74</v>
      </c>
      <c r="B112" s="14">
        <f>'Sources of Funds Worksheet'!L26</f>
        <v>0</v>
      </c>
    </row>
    <row r="113" spans="1:4" ht="15" x14ac:dyDescent="0.25">
      <c r="A113" s="302" t="s">
        <v>685</v>
      </c>
      <c r="B113" s="9">
        <f>'Housing Pro Forma'!E5</f>
        <v>0</v>
      </c>
    </row>
    <row r="114" spans="1:4" ht="15" x14ac:dyDescent="0.25">
      <c r="A114" s="306" t="s">
        <v>686</v>
      </c>
      <c r="B114" s="9">
        <f>'Housing Pro Forma'!E6</f>
        <v>0</v>
      </c>
    </row>
    <row r="115" spans="1:4" ht="15" x14ac:dyDescent="0.25">
      <c r="A115" s="307" t="s">
        <v>687</v>
      </c>
      <c r="B115" s="8" t="str">
        <f>IF('Housing Pro Forma'!E11+'Housing Pro Forma'!E12+'Housing Pro Forma'!E14+'Housing Pro Forma'!E15=0,"",'Housing Pro Forma'!E11+'Housing Pro Forma'!E12+'Housing Pro Forma'!E14+'Housing Pro Forma'!E15)</f>
        <v/>
      </c>
    </row>
    <row r="116" spans="1:4" ht="15" x14ac:dyDescent="0.25">
      <c r="A116" s="307" t="s">
        <v>688</v>
      </c>
      <c r="B116" s="8" t="str">
        <f>IF('Housing Pro Forma'!E13=0,"",'Housing Pro Forma'!E13)</f>
        <v/>
      </c>
    </row>
    <row r="117" spans="1:4" ht="15" x14ac:dyDescent="0.25">
      <c r="A117" s="302" t="s">
        <v>634</v>
      </c>
      <c r="B117" s="8" t="str">
        <f>IF('Housing Pro Forma'!E18=0,"",'Housing Pro Forma'!E18)</f>
        <v/>
      </c>
      <c r="D117" s="17"/>
    </row>
    <row r="118" spans="1:4" ht="15" x14ac:dyDescent="0.25">
      <c r="A118" s="302" t="s">
        <v>163</v>
      </c>
      <c r="B118" s="8" t="str">
        <f>IF('Housing Pro Forma'!E20=0,"",'Housing Pro Forma'!E20)</f>
        <v/>
      </c>
      <c r="D118" s="17"/>
    </row>
    <row r="119" spans="1:4" ht="15" x14ac:dyDescent="0.25">
      <c r="A119" s="302" t="s">
        <v>164</v>
      </c>
      <c r="B119" s="8" t="str">
        <f>IF('Housing Pro Forma'!E21=0,"",'Housing Pro Forma'!E21)</f>
        <v/>
      </c>
      <c r="D119" s="18"/>
    </row>
    <row r="120" spans="1:4" ht="15" x14ac:dyDescent="0.25">
      <c r="A120" s="302" t="s">
        <v>165</v>
      </c>
      <c r="B120" s="8" t="str">
        <f>IF('Housing Pro Forma'!E22=0,"",'Housing Pro Forma'!E22)</f>
        <v/>
      </c>
    </row>
    <row r="121" spans="1:4" ht="15" x14ac:dyDescent="0.25">
      <c r="A121" s="302" t="s">
        <v>166</v>
      </c>
      <c r="B121" s="8" t="str">
        <f>IF('Housing Pro Forma'!E23=0,"",'Housing Pro Forma'!E23)</f>
        <v/>
      </c>
    </row>
    <row r="122" spans="1:4" ht="15" x14ac:dyDescent="0.25">
      <c r="A122" s="302" t="s">
        <v>735</v>
      </c>
      <c r="B122" s="19" t="str">
        <f>IF('Project Information'!C18="","",'Project Information'!C18)</f>
        <v/>
      </c>
    </row>
    <row r="123" spans="1:4" ht="15" x14ac:dyDescent="0.25">
      <c r="A123" s="302" t="s">
        <v>736</v>
      </c>
      <c r="B123" s="19" t="str">
        <f>IF('Project Information'!C17="","",'Project Information'!C17)</f>
        <v/>
      </c>
    </row>
    <row r="124" spans="1:4" ht="15" x14ac:dyDescent="0.25">
      <c r="A124" s="302" t="s">
        <v>167</v>
      </c>
      <c r="B124" s="8" t="str">
        <f>IF('Housing Pro Forma'!E24=0,"",'Housing Pro Forma'!E24)</f>
        <v/>
      </c>
    </row>
    <row r="125" spans="1:4" ht="15" x14ac:dyDescent="0.25">
      <c r="A125" s="302" t="s">
        <v>737</v>
      </c>
      <c r="B125" s="19" t="str">
        <f>IF('Project Information'!C19="","",'Project Information'!C19)</f>
        <v/>
      </c>
    </row>
    <row r="126" spans="1:4" ht="15" x14ac:dyDescent="0.25">
      <c r="A126" s="302" t="s">
        <v>168</v>
      </c>
      <c r="B126" s="8" t="str">
        <f>IF('Housing Pro Forma'!E25=0,"",'Housing Pro Forma'!E25)</f>
        <v/>
      </c>
    </row>
    <row r="127" spans="1:4" ht="15" x14ac:dyDescent="0.25">
      <c r="A127" s="302" t="s">
        <v>169</v>
      </c>
      <c r="B127" s="8" t="str">
        <f>IF('Housing Pro Forma'!E26=0,"",'Housing Pro Forma'!E26)</f>
        <v/>
      </c>
    </row>
    <row r="128" spans="1:4" ht="15" x14ac:dyDescent="0.25">
      <c r="A128" s="302" t="s">
        <v>170</v>
      </c>
      <c r="B128" s="8" t="str">
        <f>IF('Housing Pro Forma'!E27=0,"",'Housing Pro Forma'!E27)</f>
        <v/>
      </c>
    </row>
    <row r="129" spans="1:2" ht="15" x14ac:dyDescent="0.25">
      <c r="A129" s="302" t="s">
        <v>626</v>
      </c>
      <c r="B129" s="8" t="str">
        <f>IF('Housing Pro Forma'!E28=0,"",'Housing Pro Forma'!E28)</f>
        <v/>
      </c>
    </row>
    <row r="130" spans="1:2" ht="15" x14ac:dyDescent="0.25">
      <c r="A130" s="302" t="s">
        <v>625</v>
      </c>
      <c r="B130" s="8" t="str">
        <f>IF('Housing Pro Forma'!E29=0,"",'Housing Pro Forma'!E29)</f>
        <v/>
      </c>
    </row>
    <row r="131" spans="1:2" ht="15" x14ac:dyDescent="0.25">
      <c r="A131" s="302" t="s">
        <v>171</v>
      </c>
      <c r="B131" s="8" t="str">
        <f>IF('Housing Pro Forma'!E30=0,"",'Housing Pro Forma'!E30)</f>
        <v/>
      </c>
    </row>
    <row r="132" spans="1:2" ht="15" x14ac:dyDescent="0.25">
      <c r="A132" s="302" t="s">
        <v>172</v>
      </c>
      <c r="B132" s="8" t="str">
        <f>IF('Housing Pro Forma'!E31=0,"",'Housing Pro Forma'!E31)</f>
        <v/>
      </c>
    </row>
    <row r="133" spans="1:2" ht="15" x14ac:dyDescent="0.25">
      <c r="A133" s="302" t="s">
        <v>173</v>
      </c>
      <c r="B133" s="8" t="str">
        <f>IF('Housing Pro Forma'!E32=0,"",'Housing Pro Forma'!E32)</f>
        <v/>
      </c>
    </row>
    <row r="134" spans="1:2" ht="15" x14ac:dyDescent="0.25">
      <c r="A134" s="302" t="s">
        <v>174</v>
      </c>
      <c r="B134" s="8" t="str">
        <f>IF('Housing Pro Forma'!E33=0,"",'Housing Pro Forma'!E33)</f>
        <v/>
      </c>
    </row>
    <row r="135" spans="1:2" ht="15" x14ac:dyDescent="0.25">
      <c r="A135" s="302" t="s">
        <v>175</v>
      </c>
      <c r="B135" s="8" t="str">
        <f>IF('Housing Pro Forma'!E34=0,"",'Housing Pro Forma'!E34)</f>
        <v/>
      </c>
    </row>
    <row r="136" spans="1:2" ht="15" x14ac:dyDescent="0.25">
      <c r="A136" s="302" t="s">
        <v>176</v>
      </c>
      <c r="B136" s="8" t="str">
        <f>IF('Housing Pro Forma'!E35=0,"",'Housing Pro Forma'!E35)</f>
        <v/>
      </c>
    </row>
    <row r="137" spans="1:2" ht="15" x14ac:dyDescent="0.25">
      <c r="A137" s="302" t="s">
        <v>177</v>
      </c>
      <c r="B137" s="8" t="str">
        <f>IF('Housing Pro Forma'!E36=0,"",'Housing Pro Forma'!E36)</f>
        <v/>
      </c>
    </row>
    <row r="138" spans="1:2" ht="15" x14ac:dyDescent="0.25">
      <c r="A138" s="302" t="s">
        <v>627</v>
      </c>
      <c r="B138" s="8" t="str">
        <f>IF('Housing Pro Forma'!E37=0,"",'Housing Pro Forma'!E37)</f>
        <v/>
      </c>
    </row>
    <row r="139" spans="1:2" ht="15" x14ac:dyDescent="0.25">
      <c r="A139" s="302" t="s">
        <v>663</v>
      </c>
      <c r="B139" s="8" t="str">
        <f>IF('Housing Pro Forma'!E38=0,"",'Housing Pro Forma'!E38)</f>
        <v/>
      </c>
    </row>
    <row r="140" spans="1:2" ht="15" x14ac:dyDescent="0.25">
      <c r="A140" s="302" t="s">
        <v>689</v>
      </c>
      <c r="B140" s="8" t="str">
        <f>IF('Housing Pro Forma'!E39=0,"",'Housing Pro Forma'!E39)</f>
        <v/>
      </c>
    </row>
    <row r="141" spans="1:2" ht="15" x14ac:dyDescent="0.25">
      <c r="A141" s="302" t="s">
        <v>690</v>
      </c>
      <c r="B141" s="15" t="str">
        <f>IF('Housing Pro Forma'!E41=0,"",'Housing Pro Forma'!E41)</f>
        <v/>
      </c>
    </row>
    <row r="142" spans="1:2" ht="15" x14ac:dyDescent="0.25">
      <c r="A142" s="302" t="s">
        <v>178</v>
      </c>
      <c r="B142" s="15" t="str">
        <f>IF('Housing Pro Forma'!E42=0,"",'Housing Pro Forma'!E42)</f>
        <v/>
      </c>
    </row>
    <row r="143" spans="1:2" ht="15" x14ac:dyDescent="0.25">
      <c r="A143" s="302" t="s">
        <v>691</v>
      </c>
      <c r="B143" s="15" t="str">
        <f>IF('Housing Pro Forma'!E40=0,"",'Housing Pro Forma'!E40)</f>
        <v/>
      </c>
    </row>
    <row r="144" spans="1:2" ht="15" x14ac:dyDescent="0.25">
      <c r="A144" s="302" t="s">
        <v>719</v>
      </c>
      <c r="B144" s="8" t="str">
        <f>IF('Housing Pro Forma'!E43=0,"",'Housing Pro Forma'!E43)</f>
        <v/>
      </c>
    </row>
    <row r="145" spans="1:2" ht="15" x14ac:dyDescent="0.25">
      <c r="A145" s="302" t="s">
        <v>692</v>
      </c>
      <c r="B145" s="11">
        <f>SUM(B118:B144)</f>
        <v>0</v>
      </c>
    </row>
    <row r="146" spans="1:2" ht="15" x14ac:dyDescent="0.25">
      <c r="A146" s="303" t="s">
        <v>179</v>
      </c>
      <c r="B146" s="8" t="str">
        <f>IF('Housing Pro Forma'!E46=0,"",'Housing Pro Forma'!E46)</f>
        <v/>
      </c>
    </row>
    <row r="147" spans="1:2" ht="15" x14ac:dyDescent="0.25">
      <c r="A147" s="303" t="s">
        <v>693</v>
      </c>
      <c r="B147" s="15" t="str">
        <f>IF('Housing Pro Forma'!E47=0,"",'Housing Pro Forma'!E47)</f>
        <v/>
      </c>
    </row>
    <row r="148" spans="1:2" ht="15" x14ac:dyDescent="0.25">
      <c r="A148" s="302" t="s">
        <v>128</v>
      </c>
      <c r="B148" s="8" t="str">
        <f>IF('Housing Pro Forma'!E48=0,"",'Housing Pro Forma'!E48)</f>
        <v/>
      </c>
    </row>
    <row r="149" spans="1:2" ht="15" x14ac:dyDescent="0.25">
      <c r="A149" s="302" t="s">
        <v>129</v>
      </c>
      <c r="B149" s="8" t="str">
        <f>IF('Housing Pro Forma'!E49=0,"",'Housing Pro Forma'!E49)</f>
        <v/>
      </c>
    </row>
    <row r="150" spans="1:2" ht="15" x14ac:dyDescent="0.25">
      <c r="A150" s="303" t="s">
        <v>130</v>
      </c>
      <c r="B150" s="8" t="str">
        <f>IF('Housing Pro Forma'!E50=0,"",'Housing Pro Forma'!E50)</f>
        <v/>
      </c>
    </row>
    <row r="151" spans="1:2" ht="15" x14ac:dyDescent="0.25">
      <c r="A151" s="303" t="s">
        <v>694</v>
      </c>
      <c r="B151" s="8">
        <f>'Housing Pro Forma'!E52</f>
        <v>0</v>
      </c>
    </row>
    <row r="152" spans="1:2" ht="15" x14ac:dyDescent="0.25">
      <c r="A152" s="302" t="s">
        <v>695</v>
      </c>
      <c r="B152" s="8" t="str">
        <f>IF('Housing Pro Forma'!E51=0,"",'Housing Pro Forma'!E51)</f>
        <v/>
      </c>
    </row>
    <row r="153" spans="1:2" ht="15" x14ac:dyDescent="0.25">
      <c r="A153" s="319" t="s">
        <v>1491</v>
      </c>
      <c r="B153" s="311" t="str">
        <f>IF('Housing Pro Forma'!E55=0,"",'Housing Pro Forma'!E55)</f>
        <v/>
      </c>
    </row>
    <row r="154" spans="1:2" ht="15" x14ac:dyDescent="0.25">
      <c r="A154" s="308" t="s">
        <v>696</v>
      </c>
      <c r="B154" s="311" t="str">
        <f>IF(MIN('Housing Pro Forma'!E55:S55)=0,"",MIN('Housing Pro Forma'!E55:S55))</f>
        <v/>
      </c>
    </row>
    <row r="155" spans="1:2" ht="15" x14ac:dyDescent="0.25">
      <c r="A155" s="308" t="s">
        <v>697</v>
      </c>
      <c r="B155" s="311" t="str">
        <f>IF(MAX('Housing Pro Forma'!E55:S55)=0,"",MAX('Housing Pro Forma'!E55:S55))</f>
        <v/>
      </c>
    </row>
    <row r="156" spans="1:2" ht="15" x14ac:dyDescent="0.25">
      <c r="A156" s="309" t="s">
        <v>698</v>
      </c>
      <c r="B156" s="785" t="str">
        <f>IF('Housing Pro Forma'!E56=0,"",'Housing Pro Forma'!E56)</f>
        <v/>
      </c>
    </row>
    <row r="157" spans="1:2" ht="15" x14ac:dyDescent="0.25">
      <c r="A157" s="309" t="s">
        <v>699</v>
      </c>
      <c r="B157" s="785" t="str">
        <f>IF(MIN('Housing Pro Forma'!E56:S56)=0,"",MIN('Housing Pro Forma'!E56:S56))</f>
        <v/>
      </c>
    </row>
    <row r="158" spans="1:2" ht="15" x14ac:dyDescent="0.25">
      <c r="A158" s="309" t="s">
        <v>700</v>
      </c>
      <c r="B158" s="785" t="str">
        <f>IF(MAX('Housing Pro Forma'!E56:S56)=0,"",MAX('Housing Pro Forma'!E56:S56))</f>
        <v/>
      </c>
    </row>
    <row r="159" spans="1:2" ht="15" x14ac:dyDescent="0.25">
      <c r="A159" s="304" t="s">
        <v>701</v>
      </c>
      <c r="B159" s="786" t="str">
        <f>'Housing Pro Forma'!D44</f>
        <v/>
      </c>
    </row>
    <row r="160" spans="1:2" ht="15" x14ac:dyDescent="0.25">
      <c r="A160" s="310" t="s">
        <v>702</v>
      </c>
      <c r="B160" s="15">
        <f>SUM('Housing Pro Forma'!E51:S51)</f>
        <v>0</v>
      </c>
    </row>
    <row r="161" spans="1:8" ht="15" x14ac:dyDescent="0.25">
      <c r="A161" s="304" t="s">
        <v>703</v>
      </c>
      <c r="B161" s="8">
        <f>B160/15</f>
        <v>0</v>
      </c>
    </row>
    <row r="162" spans="1:8" ht="15" x14ac:dyDescent="0.25">
      <c r="A162" s="304" t="s">
        <v>704</v>
      </c>
      <c r="B162" s="8">
        <f>PMT(7.532%,15,B105)*-1</f>
        <v>0</v>
      </c>
      <c r="C162" s="787" t="s">
        <v>1743</v>
      </c>
      <c r="D162" s="787"/>
      <c r="E162" s="787"/>
      <c r="F162" s="787"/>
      <c r="G162" s="787"/>
      <c r="H162" s="787"/>
    </row>
    <row r="163" spans="1:8" ht="15" x14ac:dyDescent="0.25">
      <c r="A163" s="302" t="s">
        <v>705</v>
      </c>
      <c r="B163" s="10" t="e">
        <f>B161/B162</f>
        <v>#DIV/0!</v>
      </c>
    </row>
    <row r="164" spans="1:8" ht="15" x14ac:dyDescent="0.25">
      <c r="A164" s="302" t="s">
        <v>706</v>
      </c>
      <c r="B164" s="16" t="e">
        <f>(B161-B176)/B162</f>
        <v>#DIV/0!</v>
      </c>
    </row>
    <row r="165" spans="1:8" ht="15" x14ac:dyDescent="0.25">
      <c r="A165" s="302" t="s">
        <v>707</v>
      </c>
      <c r="B165" s="12" t="e">
        <f>('Development Budget Worksheet'!C106-'Sources of Funds Worksheet'!D13)/'Feasibility Analysis Worksheet'!F4</f>
        <v>#DIV/0!</v>
      </c>
    </row>
    <row r="166" spans="1:8" ht="15" x14ac:dyDescent="0.25">
      <c r="A166" s="302" t="s">
        <v>708</v>
      </c>
      <c r="B166" s="12" t="e">
        <f>'Development Budget Worksheet'!C40/'Project Information'!$H$9</f>
        <v>#DIV/0!</v>
      </c>
    </row>
    <row r="167" spans="1:8" ht="15" x14ac:dyDescent="0.25">
      <c r="A167" s="302" t="s">
        <v>709</v>
      </c>
      <c r="B167" s="12" t="e">
        <f>'Development Budget Worksheet'!C40/'Feasibility Analysis Worksheet'!F4</f>
        <v>#DIV/0!</v>
      </c>
    </row>
    <row r="168" spans="1:8" ht="15" x14ac:dyDescent="0.25">
      <c r="A168" s="302" t="s">
        <v>710</v>
      </c>
      <c r="B168" s="12" t="e">
        <f>'Sources of Funds Worksheet'!D26/'Feasibility Analysis Worksheet'!F4</f>
        <v>#DIV/0!</v>
      </c>
    </row>
    <row r="169" spans="1:8" ht="15" x14ac:dyDescent="0.25">
      <c r="A169" s="302" t="s">
        <v>711</v>
      </c>
      <c r="B169" s="783"/>
      <c r="C169" t="s">
        <v>1750</v>
      </c>
    </row>
    <row r="170" spans="1:8" ht="15" x14ac:dyDescent="0.25">
      <c r="A170" s="302" t="s">
        <v>722</v>
      </c>
      <c r="B170" s="8" t="e">
        <f>'Development Budget Worksheet'!C117/'Feasibility Analysis Worksheet'!F4</f>
        <v>#DIV/0!</v>
      </c>
    </row>
    <row r="171" spans="1:8" ht="15" x14ac:dyDescent="0.25">
      <c r="A171" s="302" t="s">
        <v>721</v>
      </c>
      <c r="B171" s="12" t="e">
        <f>'Development Budget Worksheet'!C117/'Project Information'!H9</f>
        <v>#DIV/0!</v>
      </c>
    </row>
    <row r="172" spans="1:8" ht="15" x14ac:dyDescent="0.25">
      <c r="A172" s="302" t="s">
        <v>712</v>
      </c>
      <c r="B172" s="12" t="e">
        <f>'Development Budget Worksheet'!E121/'Feasibility Analysis Worksheet'!F4</f>
        <v>#DIV/0!</v>
      </c>
    </row>
    <row r="173" spans="1:8" ht="15" x14ac:dyDescent="0.25">
      <c r="A173" s="302" t="s">
        <v>713</v>
      </c>
      <c r="B173" s="12" t="e">
        <f>'Development Budget Worksheet'!E121/'Project Information'!H10</f>
        <v>#DIV/0!</v>
      </c>
    </row>
    <row r="174" spans="1:8" ht="15" x14ac:dyDescent="0.25">
      <c r="A174" s="304" t="s">
        <v>723</v>
      </c>
      <c r="B174" s="12" t="e">
        <f>'Feasibility Analysis Worksheet'!D9</f>
        <v>#DIV/0!</v>
      </c>
    </row>
    <row r="175" spans="1:8" ht="15" x14ac:dyDescent="0.25">
      <c r="A175" s="302" t="s">
        <v>714</v>
      </c>
      <c r="B175" s="10" t="e">
        <f>('Sources of Funds Worksheet'!D8+'Sources of Funds Worksheet'!D9)/'Development Budget Worksheet'!E121</f>
        <v>#DIV/0!</v>
      </c>
    </row>
    <row r="176" spans="1:8" ht="15" x14ac:dyDescent="0.25">
      <c r="A176" s="303" t="s">
        <v>715</v>
      </c>
      <c r="B176" s="15">
        <f>AVERAGE('Housing Pro Forma'!E52:S52)</f>
        <v>0</v>
      </c>
    </row>
  </sheetData>
  <sheetProtection algorithmName="SHA-512" hashValue="JZrwIYjgfez539huZv4ahLAmHJyVhj++Eag2quE0k++uBXc7Z7TJPp7uYGyBcJhj5euDbRQBUD2jU5PSrP164g==" saltValue="QvG5ijDekntDVWsa01EPyw==" spinCount="100000" sheet="1" selectLockedCells="1" selectUnlockedCells="1"/>
  <customSheetViews>
    <customSheetView guid="{695F2D09-97F7-4A62-ACE9-B0C2EFD91E95}" state="hidden" topLeftCell="A145">
      <selection activeCell="B165" sqref="B165"/>
      <pageMargins left="0.7" right="0.7" top="0.75" bottom="0.75" header="0.3" footer="0.3"/>
    </customSheetView>
  </customSheetViews>
  <pageMargins left="0.7" right="0.7" top="0.75" bottom="0.75" header="0.3" footer="0.3"/>
  <pageSetup orientation="portrait" r:id="rId1"/>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8">
    <tabColor rgb="FFFF0000"/>
  </sheetPr>
  <dimension ref="A1:Q28"/>
  <sheetViews>
    <sheetView showGridLines="0" tabSelected="1" zoomScale="90" zoomScaleNormal="90" workbookViewId="0">
      <selection activeCell="E5" sqref="E5"/>
    </sheetView>
  </sheetViews>
  <sheetFormatPr defaultColWidth="9.140625" defaultRowHeight="12.75" x14ac:dyDescent="0.2"/>
  <cols>
    <col min="1" max="1" width="17" style="646" bestFit="1" customWidth="1"/>
    <col min="2" max="2" width="16.28515625" style="646" customWidth="1"/>
    <col min="3" max="3" width="19.5703125" style="646" customWidth="1"/>
    <col min="4" max="4" width="11.5703125" style="646" customWidth="1"/>
    <col min="5" max="5" width="22.42578125" style="646" customWidth="1"/>
    <col min="6" max="6" width="14.5703125" style="646" customWidth="1"/>
    <col min="7" max="7" width="47.7109375" style="646" customWidth="1"/>
    <col min="8" max="8" width="10.85546875" style="646" customWidth="1"/>
    <col min="9" max="9" width="13.42578125" style="646" customWidth="1"/>
    <col min="10" max="10" width="13.140625" style="646" customWidth="1"/>
    <col min="11" max="11" width="13.42578125" style="646" customWidth="1"/>
    <col min="12" max="12" width="10" style="646" customWidth="1"/>
    <col min="13" max="17" width="9.140625" style="646" hidden="1" customWidth="1"/>
    <col min="18" max="16384" width="9.140625" style="646"/>
  </cols>
  <sheetData>
    <row r="1" spans="1:15" x14ac:dyDescent="0.2">
      <c r="A1" s="877" t="s">
        <v>189</v>
      </c>
      <c r="B1" s="877"/>
      <c r="C1" s="877"/>
      <c r="D1" s="877"/>
      <c r="E1" s="877"/>
      <c r="F1" s="645"/>
      <c r="G1" s="645"/>
      <c r="H1" s="645"/>
      <c r="I1" s="645"/>
    </row>
    <row r="2" spans="1:15" x14ac:dyDescent="0.2">
      <c r="A2" s="877" t="s">
        <v>640</v>
      </c>
      <c r="B2" s="877"/>
      <c r="C2" s="877"/>
      <c r="D2" s="877"/>
      <c r="E2" s="877"/>
      <c r="F2" s="645"/>
      <c r="G2" s="645"/>
      <c r="H2" s="645"/>
      <c r="I2" s="645"/>
    </row>
    <row r="3" spans="1:15" x14ac:dyDescent="0.2">
      <c r="A3" s="661" t="s">
        <v>1788</v>
      </c>
      <c r="B3" s="647"/>
      <c r="C3" s="648"/>
      <c r="D3" s="648"/>
      <c r="E3" s="648"/>
      <c r="F3" s="648"/>
      <c r="G3" s="648"/>
      <c r="H3" s="645"/>
      <c r="I3" s="645"/>
    </row>
    <row r="4" spans="1:15" x14ac:dyDescent="0.2">
      <c r="A4" s="649" t="str">
        <f>IF(OR(E5="",B6="",B7="",B8="",B9="",B10="",C12="",C14="",C15=""),"All information on this page must be completed before moving on.","")</f>
        <v>All information on this page must be completed before moving on.</v>
      </c>
      <c r="B4" s="647"/>
      <c r="C4" s="648"/>
      <c r="D4" s="648"/>
      <c r="E4" s="648"/>
      <c r="F4" s="648"/>
      <c r="G4" s="648"/>
      <c r="H4" s="645"/>
      <c r="I4" s="645"/>
    </row>
    <row r="5" spans="1:15" ht="24.75" customHeight="1" x14ac:dyDescent="0.2">
      <c r="A5" s="650"/>
      <c r="B5" s="651"/>
      <c r="C5" s="652" t="str">
        <f>IF(E5="","Please enter in today's date (MM/DD/YY)","")</f>
        <v>Please enter in today's date (MM/DD/YY)</v>
      </c>
      <c r="D5" s="653" t="s">
        <v>131</v>
      </c>
      <c r="E5" s="654"/>
      <c r="F5" s="650"/>
    </row>
    <row r="6" spans="1:15" ht="24.75" customHeight="1" thickBot="1" x14ac:dyDescent="0.25">
      <c r="A6" s="655" t="s">
        <v>0</v>
      </c>
      <c r="B6" s="879"/>
      <c r="C6" s="880"/>
      <c r="D6" s="880"/>
      <c r="E6" s="880"/>
      <c r="F6" s="650"/>
    </row>
    <row r="7" spans="1:15" ht="24.75" customHeight="1" x14ac:dyDescent="0.3">
      <c r="A7" s="655" t="s">
        <v>643</v>
      </c>
      <c r="B7" s="875"/>
      <c r="C7" s="875"/>
      <c r="D7" s="875"/>
      <c r="E7" s="875"/>
      <c r="F7" s="650"/>
      <c r="G7" s="852" t="s">
        <v>1472</v>
      </c>
      <c r="H7" s="853"/>
      <c r="I7" s="853"/>
      <c r="J7" s="853"/>
      <c r="K7" s="854"/>
      <c r="M7" s="23">
        <f>IF(H14="",0,H14)</f>
        <v>0</v>
      </c>
      <c r="N7" s="293" t="s">
        <v>1354</v>
      </c>
      <c r="O7" s="22"/>
    </row>
    <row r="8" spans="1:15" ht="24.75" customHeight="1" x14ac:dyDescent="0.2">
      <c r="A8" s="655" t="s">
        <v>644</v>
      </c>
      <c r="B8" s="878" t="str">
        <f>IF(B7="","",IF(B7="Other County/State","Other",IF(OR((MID(B7,FIND(",",B7)+2,256)="Kansas"),(MID(B7,FIND(",",B7)+2,256)="Colorado"),(MID(B7,FIND(",",B7)+2,256)="Oklahoma"),(MID(B7,FIND(",",B7)+2,256)="Nebraska")),MID(B7,FIND(",",B7)+2,256),"Other")))</f>
        <v/>
      </c>
      <c r="C8" s="878"/>
      <c r="D8" s="873" t="str">
        <f>IF(B7="Other County/State","Please contact HCD to receive a workbook with Applicable County Information","")</f>
        <v/>
      </c>
      <c r="E8" s="873"/>
      <c r="F8" s="873"/>
      <c r="G8" s="704" t="s">
        <v>195</v>
      </c>
      <c r="H8" s="669"/>
      <c r="I8" s="318"/>
      <c r="J8" s="318"/>
      <c r="K8" s="698"/>
      <c r="M8" s="23">
        <f>IF(H13="",0,H13)</f>
        <v>0</v>
      </c>
      <c r="N8" s="24" t="s">
        <v>1353</v>
      </c>
      <c r="O8" s="22"/>
    </row>
    <row r="9" spans="1:15" ht="24.75" customHeight="1" x14ac:dyDescent="0.2">
      <c r="A9" s="655" t="s">
        <v>641</v>
      </c>
      <c r="B9" s="875"/>
      <c r="C9" s="875"/>
      <c r="D9" s="881" t="str">
        <f>IF(B9="Other","Clarify Project Type in explanation box below.","")</f>
        <v/>
      </c>
      <c r="E9" s="881"/>
      <c r="F9" s="881"/>
      <c r="G9" s="699" t="s">
        <v>147</v>
      </c>
      <c r="H9" s="670">
        <f>H10+H11+H12</f>
        <v>0</v>
      </c>
      <c r="I9" s="318"/>
      <c r="J9" s="318"/>
      <c r="K9" s="698"/>
      <c r="M9" s="702" t="e">
        <f>H10/'Rental Project Worksheet'!D60</f>
        <v>#DIV/0!</v>
      </c>
      <c r="N9" s="22" t="s">
        <v>1337</v>
      </c>
      <c r="O9" s="22"/>
    </row>
    <row r="10" spans="1:15" ht="24.75" customHeight="1" x14ac:dyDescent="0.2">
      <c r="A10" s="655" t="s">
        <v>716</v>
      </c>
      <c r="B10" s="875"/>
      <c r="C10" s="875"/>
      <c r="D10" s="650"/>
      <c r="E10" s="650"/>
      <c r="F10" s="650"/>
      <c r="G10" s="700" t="s">
        <v>196</v>
      </c>
      <c r="H10" s="669"/>
      <c r="I10" s="855" t="str">
        <f>IF(AND(H13="",H14=""),"Enter Rehab or New Construction Sq Ft","")</f>
        <v>Enter Rehab or New Construction Sq Ft</v>
      </c>
      <c r="J10" s="855"/>
      <c r="K10" s="856"/>
      <c r="M10" s="27">
        <f>IF(H12="",0,H12)</f>
        <v>0</v>
      </c>
      <c r="N10" s="22" t="s">
        <v>1373</v>
      </c>
      <c r="O10" s="26"/>
    </row>
    <row r="11" spans="1:15" ht="24.75" customHeight="1" x14ac:dyDescent="0.2">
      <c r="A11" s="859" t="s">
        <v>1487</v>
      </c>
      <c r="B11" s="859"/>
      <c r="C11" s="656"/>
      <c r="D11" s="871" t="str">
        <f>IF(C11="Yes","Complete the Tenant Income Worksheet, available on the AHP website.","")</f>
        <v/>
      </c>
      <c r="E11" s="871"/>
      <c r="G11" s="700" t="s">
        <v>739</v>
      </c>
      <c r="H11" s="669"/>
      <c r="I11" s="857" t="str">
        <f>IF(AND(K13="",K14=""),"Enter Rehab or New Construction Units","")</f>
        <v>Enter Rehab or New Construction Units</v>
      </c>
      <c r="J11" s="857"/>
      <c r="K11" s="858"/>
      <c r="M11" s="28" t="e">
        <f>H12/H9</f>
        <v>#DIV/0!</v>
      </c>
      <c r="N11" s="22" t="s">
        <v>1330</v>
      </c>
      <c r="O11" s="22"/>
    </row>
    <row r="12" spans="1:15" ht="24.75" customHeight="1" x14ac:dyDescent="0.2">
      <c r="A12" s="860" t="s">
        <v>642</v>
      </c>
      <c r="B12" s="860"/>
      <c r="C12" s="664"/>
      <c r="D12" s="650"/>
      <c r="E12" s="728" t="str">
        <f>IF(C11= "Yes", HYPERLINK("https://www.fhlbtopeka.com/community-programs-grant-programs-forms","Link to Tenant Income Worksheet"),"")</f>
        <v/>
      </c>
      <c r="F12" s="650"/>
      <c r="G12" s="700" t="s">
        <v>652</v>
      </c>
      <c r="H12" s="669"/>
      <c r="I12" s="851" t="s">
        <v>1425</v>
      </c>
      <c r="J12" s="851"/>
      <c r="K12" s="701"/>
      <c r="M12" s="29" t="e">
        <f>(H11/(H10+H11))</f>
        <v>#DIV/0!</v>
      </c>
      <c r="N12" s="22" t="s">
        <v>1329</v>
      </c>
      <c r="O12" s="22"/>
    </row>
    <row r="13" spans="1:15" ht="27.75" customHeight="1" x14ac:dyDescent="0.2">
      <c r="A13" s="859" t="s">
        <v>727</v>
      </c>
      <c r="B13" s="859"/>
      <c r="C13" s="664"/>
      <c r="D13" s="650"/>
      <c r="E13" s="728"/>
      <c r="F13" s="650"/>
      <c r="G13" s="700" t="s">
        <v>1324</v>
      </c>
      <c r="H13" s="669"/>
      <c r="I13" s="851" t="s">
        <v>1299</v>
      </c>
      <c r="J13" s="851"/>
      <c r="K13" s="701"/>
      <c r="M13" s="703" t="e">
        <f>H13/K13</f>
        <v>#DIV/0!</v>
      </c>
      <c r="N13" s="22" t="s">
        <v>1327</v>
      </c>
      <c r="O13" s="22"/>
    </row>
    <row r="14" spans="1:15" ht="24.75" customHeight="1" x14ac:dyDescent="0.2">
      <c r="A14" s="859" t="s">
        <v>649</v>
      </c>
      <c r="B14" s="859"/>
      <c r="C14" s="664"/>
      <c r="D14" s="871" t="str">
        <f>IF(C14="Yes","Complete the Non-Residential Questions Below.","")</f>
        <v/>
      </c>
      <c r="E14" s="871"/>
      <c r="F14" s="650"/>
      <c r="G14" s="700" t="s">
        <v>1325</v>
      </c>
      <c r="H14" s="669"/>
      <c r="I14" s="851" t="s">
        <v>1300</v>
      </c>
      <c r="J14" s="851"/>
      <c r="K14" s="701"/>
      <c r="M14" s="703" t="e">
        <f>H14/K14</f>
        <v>#DIV/0!</v>
      </c>
      <c r="N14" s="30" t="s">
        <v>1326</v>
      </c>
      <c r="O14" s="22"/>
    </row>
    <row r="15" spans="1:15" ht="24.75" customHeight="1" x14ac:dyDescent="0.2">
      <c r="A15" s="859" t="s">
        <v>732</v>
      </c>
      <c r="B15" s="859"/>
      <c r="C15" s="664"/>
      <c r="D15" s="657"/>
      <c r="E15" s="657"/>
      <c r="F15" s="650"/>
      <c r="G15" s="718" t="s">
        <v>146</v>
      </c>
      <c r="H15" s="715"/>
      <c r="I15" s="716"/>
      <c r="J15" s="716"/>
      <c r="K15" s="717"/>
      <c r="M15" s="32">
        <f>H10-H13-H14</f>
        <v>0</v>
      </c>
      <c r="N15" s="33" t="s">
        <v>1386</v>
      </c>
      <c r="O15" s="31"/>
    </row>
    <row r="16" spans="1:15" ht="44.25" customHeight="1" thickBot="1" x14ac:dyDescent="0.25">
      <c r="A16" s="859" t="str">
        <f>IF(OR(B9="Rehabilitation",B9="Acquisition Rehabilitation"),"Rehab Costs Supported by Bid(s):","Site Work Costs Supported by Bid(s):")</f>
        <v>Site Work Costs Supported by Bid(s):</v>
      </c>
      <c r="B16" s="859"/>
      <c r="C16" s="664"/>
      <c r="D16" s="871" t="str">
        <f>IF(C16="No","Obtain bid, Engineer's Estimate of Site Work Required, or Architect's Quanity Takeoff of Materials. Application reviewers may request at a later date.","")</f>
        <v/>
      </c>
      <c r="E16" s="871"/>
      <c r="F16" s="876"/>
      <c r="G16" s="719" t="s">
        <v>1630</v>
      </c>
      <c r="H16" s="720"/>
      <c r="I16" s="725"/>
      <c r="J16" s="725"/>
      <c r="K16" s="726"/>
      <c r="L16" s="727"/>
      <c r="M16" s="41">
        <f>SUM(K12:K14)</f>
        <v>0</v>
      </c>
      <c r="N16" s="34" t="s">
        <v>1350</v>
      </c>
    </row>
    <row r="17" spans="1:14" ht="24.75" customHeight="1" thickBot="1" x14ac:dyDescent="0.25">
      <c r="A17" s="860" t="s">
        <v>645</v>
      </c>
      <c r="B17" s="860"/>
      <c r="C17" s="664"/>
      <c r="D17" s="650"/>
      <c r="E17" s="650"/>
      <c r="F17" s="650"/>
      <c r="G17" s="646" t="s">
        <v>1753</v>
      </c>
      <c r="M17" s="37">
        <f>K13</f>
        <v>0</v>
      </c>
      <c r="N17" s="36" t="s">
        <v>1322</v>
      </c>
    </row>
    <row r="18" spans="1:14" ht="24.75" customHeight="1" x14ac:dyDescent="0.2">
      <c r="A18" s="860" t="s">
        <v>646</v>
      </c>
      <c r="B18" s="860"/>
      <c r="C18" s="664"/>
      <c r="D18" s="650"/>
      <c r="E18" s="650"/>
      <c r="F18" s="650"/>
      <c r="G18" s="862"/>
      <c r="H18" s="863"/>
      <c r="I18" s="863"/>
      <c r="J18" s="863"/>
      <c r="K18" s="864"/>
      <c r="M18" s="37">
        <f>K14</f>
        <v>0</v>
      </c>
      <c r="N18" s="36" t="s">
        <v>1323</v>
      </c>
    </row>
    <row r="19" spans="1:14" ht="24.75" customHeight="1" x14ac:dyDescent="0.2">
      <c r="A19" s="860" t="s">
        <v>647</v>
      </c>
      <c r="B19" s="860"/>
      <c r="C19" s="664"/>
      <c r="D19" s="650"/>
      <c r="E19" s="650"/>
      <c r="F19" s="650"/>
      <c r="G19" s="865"/>
      <c r="H19" s="866"/>
      <c r="I19" s="866"/>
      <c r="J19" s="866"/>
      <c r="K19" s="867"/>
      <c r="L19" s="795"/>
      <c r="M19" s="37">
        <f>K12</f>
        <v>0</v>
      </c>
      <c r="N19" s="36" t="s">
        <v>1385</v>
      </c>
    </row>
    <row r="20" spans="1:14" ht="24.75" customHeight="1" thickBot="1" x14ac:dyDescent="0.25">
      <c r="A20" s="860" t="s">
        <v>650</v>
      </c>
      <c r="B20" s="860"/>
      <c r="C20" s="656"/>
      <c r="D20" s="650"/>
      <c r="E20" s="650"/>
      <c r="F20" s="650"/>
      <c r="G20" s="868"/>
      <c r="H20" s="869"/>
      <c r="I20" s="869"/>
      <c r="J20" s="869"/>
      <c r="K20" s="870"/>
      <c r="L20" s="795"/>
      <c r="M20" s="37" t="str">
        <f>IF(H15="Yes","Y",IF(H15="No","N",""))</f>
        <v/>
      </c>
      <c r="N20" s="36" t="s">
        <v>1321</v>
      </c>
    </row>
    <row r="21" spans="1:14" ht="51" customHeight="1" x14ac:dyDescent="0.2">
      <c r="A21" s="860" t="s">
        <v>648</v>
      </c>
      <c r="B21" s="860"/>
      <c r="C21" s="658"/>
      <c r="D21" s="872" t="str">
        <f>IF(C21="No","",IF(C21="Project Based","Enter total subsidy payment in the corresponding column on the housing pro forma. Provide supporting documentation.",IF(C21="Rent Based","Enter tenant &amp; assistance portion separately on the Rental Project Worksheet. Provide supporting documentation.",IF(C21="Project and Rent Based","Enter total subsidy payment in the corresponding column on the housing pro forma, and enter tenant &amp; assistance portion separately on the Rental Project Worksheet. Provide supporting documentation.",""))))</f>
        <v/>
      </c>
      <c r="E21" s="872"/>
      <c r="F21" s="872"/>
      <c r="G21" s="873"/>
      <c r="H21" s="795"/>
      <c r="I21" s="795"/>
      <c r="J21" s="795"/>
      <c r="K21" s="795"/>
      <c r="L21" s="795"/>
      <c r="M21" s="35"/>
      <c r="N21" s="36"/>
    </row>
    <row r="22" spans="1:14" ht="30.75" customHeight="1" x14ac:dyDescent="0.2">
      <c r="A22" s="859" t="s">
        <v>1458</v>
      </c>
      <c r="B22" s="859"/>
      <c r="C22" s="659"/>
      <c r="D22" s="784"/>
      <c r="E22" s="784"/>
      <c r="F22" s="784"/>
      <c r="G22" s="784"/>
      <c r="H22" s="795"/>
      <c r="I22" s="795"/>
      <c r="J22" s="795"/>
      <c r="K22" s="795"/>
      <c r="L22" s="795"/>
      <c r="M22" s="37"/>
      <c r="N22" s="36"/>
    </row>
    <row r="23" spans="1:14" ht="36.75" customHeight="1" x14ac:dyDescent="0.2">
      <c r="A23" s="859" t="str">
        <f>IF(C14="Yes","Non-Residential Development Costs are known &amp; supported by bids:","")</f>
        <v/>
      </c>
      <c r="B23" s="859"/>
      <c r="C23" s="660"/>
    </row>
    <row r="24" spans="1:14" ht="27" customHeight="1" x14ac:dyDescent="0.2">
      <c r="A24" s="861" t="str">
        <f>IF(OR(C14="No",C14=""),"",IF(C23="Yes","Complete the 'Non-Residential Costs' Column on the Development Budget Worksheet. Residential and Non-Residential Costs must be included in 'Total Budget Amount' column. Include $0 in the budget where necessary. Call HCD with questions. 866-571-8155",IF(C23="No","The Development Budget Worksheet will calculate the subtotal for Non-Residential costs in the 'Non-Residential Costs' column. You can override the subtotal by inputting the known costs in each cost section. Call HCD if you have questions. 866-571-8155.","")))</f>
        <v/>
      </c>
      <c r="B24" s="861"/>
      <c r="C24" s="861"/>
      <c r="D24" s="861"/>
      <c r="E24" s="861"/>
      <c r="F24" s="861"/>
      <c r="G24" s="861"/>
    </row>
    <row r="25" spans="1:14" ht="31.5" customHeight="1" x14ac:dyDescent="0.2">
      <c r="A25" s="859" t="str">
        <f>IF(C14="Yes","Non-Residential Development Costs are supported by permanent debt:","")</f>
        <v/>
      </c>
      <c r="B25" s="859"/>
      <c r="C25" s="660"/>
    </row>
    <row r="26" spans="1:14" ht="27" customHeight="1" x14ac:dyDescent="0.2">
      <c r="A26" s="861" t="str">
        <f>IF(C14="No","",IF(C25="No","Non-Residential Costs will automatically calculate based on the percentage of residential and non-residential costs entered in the Project Characteristics section.",IF(C25="Yes","The cost of the permanent debt should be reflected in the 'Non-Residential Costs' column of the Development Budget Worksheet. The permanent debt should be reflected in the 'Non-Residential Sources of Funds' on the Sources of Funds Worksheet.","")))</f>
        <v/>
      </c>
      <c r="B26" s="861"/>
      <c r="C26" s="861"/>
      <c r="D26" s="861"/>
      <c r="E26" s="861"/>
      <c r="F26" s="861"/>
      <c r="G26" s="861"/>
    </row>
    <row r="27" spans="1:14" ht="27.75" customHeight="1" x14ac:dyDescent="0.2">
      <c r="A27" s="859" t="str">
        <f>IF(C14="Yes","The developer is collecting developer fees for the Non-Residential space:","")</f>
        <v/>
      </c>
      <c r="B27" s="859"/>
      <c r="C27" s="660"/>
    </row>
    <row r="28" spans="1:14" x14ac:dyDescent="0.2">
      <c r="A28" s="874" t="str">
        <f>IF(OR(C14="No",C14=""),"",IF(C27="Yes","The cost of the developer fee should be reflected in the 'Non-Residential Costs' column of the Development Budget Worksheet.",""))</f>
        <v/>
      </c>
      <c r="B28" s="874"/>
      <c r="C28" s="874"/>
      <c r="D28" s="874"/>
      <c r="E28" s="874"/>
      <c r="F28" s="874"/>
      <c r="G28" s="874"/>
    </row>
  </sheetData>
  <sheetProtection algorithmName="SHA-512" hashValue="zbuM+GwXAZZHGD/1tyh+jgnRo6V5xh1Uex0GZIp15U6Mpbk+23SkYP86dPJMb8g2mcM5D+P0ufRC/dzVhFpxsQ==" saltValue="gQgdia5dsO1itDU/36EsRA==" spinCount="100000" sheet="1" selectLockedCells="1"/>
  <customSheetViews>
    <customSheetView guid="{695F2D09-97F7-4A62-ACE9-B0C2EFD91E95}" showGridLines="0">
      <selection activeCell="A24" sqref="A24:E24"/>
      <pageMargins left="0.7" right="0.7" top="0.75" bottom="0.75" header="0.3" footer="0.3"/>
      <printOptions horizontalCentered="1" verticalCentered="1"/>
      <pageSetup scale="82" orientation="portrait" r:id="rId1"/>
      <headerFooter>
        <oddHeader>&amp;C&amp;"Arial,Bold"&amp;11FHLBank Topeka - Affordable Housing Program 
&amp;A&amp;R&amp;D</oddHeader>
        <oddFooter>&amp;LRevised 3/17/15</oddFooter>
      </headerFooter>
    </customSheetView>
  </customSheetViews>
  <mergeCells count="38">
    <mergeCell ref="A1:E1"/>
    <mergeCell ref="A2:E2"/>
    <mergeCell ref="B9:C9"/>
    <mergeCell ref="B8:C8"/>
    <mergeCell ref="B6:E6"/>
    <mergeCell ref="B7:E7"/>
    <mergeCell ref="D9:F9"/>
    <mergeCell ref="D14:E14"/>
    <mergeCell ref="A21:B21"/>
    <mergeCell ref="D21:G21"/>
    <mergeCell ref="A28:G28"/>
    <mergeCell ref="D8:F8"/>
    <mergeCell ref="D11:E11"/>
    <mergeCell ref="A13:B13"/>
    <mergeCell ref="B10:C10"/>
    <mergeCell ref="A15:B15"/>
    <mergeCell ref="A20:B20"/>
    <mergeCell ref="A12:B12"/>
    <mergeCell ref="A14:B14"/>
    <mergeCell ref="A16:B16"/>
    <mergeCell ref="A17:B17"/>
    <mergeCell ref="A11:B11"/>
    <mergeCell ref="D16:F16"/>
    <mergeCell ref="A27:B27"/>
    <mergeCell ref="A18:B18"/>
    <mergeCell ref="A19:B19"/>
    <mergeCell ref="A23:B23"/>
    <mergeCell ref="A25:B25"/>
    <mergeCell ref="A26:G26"/>
    <mergeCell ref="A24:G24"/>
    <mergeCell ref="A22:B22"/>
    <mergeCell ref="G18:K20"/>
    <mergeCell ref="I14:J14"/>
    <mergeCell ref="G7:K7"/>
    <mergeCell ref="I10:K10"/>
    <mergeCell ref="I11:K11"/>
    <mergeCell ref="I12:J12"/>
    <mergeCell ref="I13:J13"/>
  </mergeCells>
  <conditionalFormatting sqref="C23 C25 C27">
    <cfRule type="expression" dxfId="96" priority="3">
      <formula>$C$14="No"</formula>
    </cfRule>
    <cfRule type="expression" dxfId="95" priority="4">
      <formula>$C$14="Yes"</formula>
    </cfRule>
  </conditionalFormatting>
  <conditionalFormatting sqref="H13:H14">
    <cfRule type="expression" dxfId="94" priority="2">
      <formula>$I$10="Enter Rehab or New Construction Sq Ft"</formula>
    </cfRule>
  </conditionalFormatting>
  <conditionalFormatting sqref="K13:K14">
    <cfRule type="expression" dxfId="93" priority="1">
      <formula>$I$11="Enter Rehab or New Construction Units"</formula>
    </cfRule>
  </conditionalFormatting>
  <dataValidations count="13">
    <dataValidation type="list" allowBlank="1" showInputMessage="1" showErrorMessage="1" sqref="C25 C27 C23 C19 C11:C12 C14:C17 H15" xr:uid="{00000000-0002-0000-0100-000000000000}">
      <formula1>"Yes,No"</formula1>
    </dataValidation>
    <dataValidation type="list" allowBlank="1" showInputMessage="1" showErrorMessage="1" sqref="C18" xr:uid="{00000000-0002-0000-0100-000001000000}">
      <formula1>"Yes,No,N/A"</formula1>
    </dataValidation>
    <dataValidation type="list" allowBlank="1" showInputMessage="1" showErrorMessage="1" sqref="C20" xr:uid="{00000000-0002-0000-0100-000002000000}">
      <formula1>"Subsidized Advance,Direct Subsidy"</formula1>
    </dataValidation>
    <dataValidation type="list" allowBlank="1" showErrorMessage="1" promptTitle="County/State Enter" prompt="Enter the project County/State.  If it is not listed, Choose &quot;Other County/State&quot; and enter the current year's 50% AMI for a 4 person household for your county in cell H6.  Limits can be found at:  http://www.huduser.org/portal/datasets/il/il13/index.html" sqref="B7:E7" xr:uid="{00000000-0002-0000-0100-000003000000}">
      <formula1>County</formula1>
    </dataValidation>
    <dataValidation type="list" allowBlank="1" showInputMessage="1" showErrorMessage="1" sqref="B9:C9" xr:uid="{00000000-0002-0000-0100-000004000000}">
      <formula1>"Acquisition,Acquisition Rehabilitation,New Construction,Rehabilitation,Combination - New and Rehabilitation,Other"</formula1>
    </dataValidation>
    <dataValidation type="list" allowBlank="1" showInputMessage="1" showErrorMessage="1" sqref="B10:C10" xr:uid="{00000000-0002-0000-0100-000005000000}">
      <formula1>"Multi-Family,Duplex/Triplex/4-plex,Single Family,Historic Multi-Family"</formula1>
    </dataValidation>
    <dataValidation type="list" allowBlank="1" showInputMessage="1" showErrorMessage="1" sqref="C21" xr:uid="{00000000-0002-0000-0100-000006000000}">
      <formula1>"No,Project Based,Rent Based,Project and Rent Based"</formula1>
    </dataValidation>
    <dataValidation type="list" allowBlank="1" showInputMessage="1" showErrorMessage="1" sqref="C13" xr:uid="{00000000-0002-0000-0100-000007000000}">
      <formula1>"No,4% LIHTC,9% LIHTC"</formula1>
    </dataValidation>
    <dataValidation type="whole" operator="greaterThanOrEqual" allowBlank="1" showInputMessage="1" showErrorMessage="1" error="The number of months listed should be a whole number without any letters or special characters. " sqref="C22" xr:uid="{59E9E770-91B3-404B-A194-A1C7581E8610}">
      <formula1>0</formula1>
    </dataValidation>
    <dataValidation type="decimal" operator="greaterThan" allowBlank="1" showInputMessage="1" showErrorMessage="1" error="Enter a valid square footage" sqref="H8 H10" xr:uid="{9175EB79-7790-4016-9A99-C8F70E71114C}">
      <formula1>0</formula1>
    </dataValidation>
    <dataValidation type="decimal" operator="greaterThanOrEqual" allowBlank="1" showInputMessage="1" showErrorMessage="1" error="Enter a valid square footage" sqref="H11" xr:uid="{8A2E018F-6080-4EAA-AD7E-4DB46236DEAC}">
      <formula1>0</formula1>
    </dataValidation>
    <dataValidation operator="greaterThan" allowBlank="1" showInputMessage="1" showErrorMessage="1" error="Enter a valid square footage" sqref="H9" xr:uid="{E447FFA7-886D-4680-9303-AB07B0755432}"/>
    <dataValidation allowBlank="1" showInputMessage="1" showErrorMessage="1" promptTitle="Non-Residential" prompt="Does not include amenity space such as community buildings. Only include building floor area for commercial or supportive services." sqref="H12" xr:uid="{72AEC089-1122-4DAA-8B9C-CBFD127C62B6}"/>
  </dataValidations>
  <printOptions horizontalCentered="1" verticalCentered="1"/>
  <pageMargins left="0.7" right="0.7" top="0.75" bottom="0.75" header="0.3" footer="0.3"/>
  <pageSetup scale="82" orientation="portrait" r:id="rId2"/>
  <headerFooter>
    <oddHeader>&amp;C&amp;"Arial,Bold"&amp;11FHLBank Topeka - Affordable Housing Program 
&amp;A&amp;R&amp;D</oddHeader>
  </headerFooter>
  <legacyDrawing r:id="rId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2">
    <tabColor theme="3" tint="0.59999389629810485"/>
    <pageSetUpPr fitToPage="1"/>
  </sheetPr>
  <dimension ref="A1:S71"/>
  <sheetViews>
    <sheetView showGridLines="0" zoomScaleNormal="100" workbookViewId="0">
      <selection activeCell="D19" sqref="D19"/>
    </sheetView>
  </sheetViews>
  <sheetFormatPr defaultColWidth="7.85546875" defaultRowHeight="12.75" x14ac:dyDescent="0.2"/>
  <cols>
    <col min="1" max="1" width="9.42578125" style="2" customWidth="1"/>
    <col min="2" max="2" width="11.7109375" style="2" customWidth="1"/>
    <col min="3" max="7" width="12.140625" style="2" customWidth="1"/>
    <col min="8" max="8" width="12.7109375" style="2" customWidth="1"/>
    <col min="9" max="9" width="12.28515625" style="2" customWidth="1"/>
    <col min="10" max="10" width="8.5703125" style="2" customWidth="1"/>
    <col min="11" max="12" width="7.85546875" style="2"/>
    <col min="13" max="14" width="7.85546875" style="2" customWidth="1"/>
    <col min="15" max="16" width="7.85546875" style="2" hidden="1" customWidth="1"/>
    <col min="17" max="17" width="13.140625" style="2" hidden="1" customWidth="1"/>
    <col min="18" max="18" width="5.7109375" style="2" hidden="1" customWidth="1"/>
    <col min="19" max="19" width="7.85546875" style="2" hidden="1" customWidth="1"/>
    <col min="20" max="16384" width="7.85546875" style="2"/>
  </cols>
  <sheetData>
    <row r="1" spans="1:10" x14ac:dyDescent="0.2">
      <c r="A1" s="905" t="s">
        <v>189</v>
      </c>
      <c r="B1" s="905"/>
      <c r="C1" s="905"/>
      <c r="D1" s="905"/>
      <c r="E1" s="905"/>
      <c r="F1" s="905"/>
      <c r="G1" s="905"/>
      <c r="H1" s="905"/>
      <c r="I1" s="905"/>
    </row>
    <row r="2" spans="1:10" x14ac:dyDescent="0.2">
      <c r="A2" s="42"/>
      <c r="B2" s="43"/>
      <c r="C2" s="905" t="s">
        <v>183</v>
      </c>
      <c r="D2" s="905"/>
      <c r="E2" s="905"/>
      <c r="F2" s="905"/>
      <c r="G2" s="905"/>
      <c r="H2" s="44"/>
      <c r="I2" s="44"/>
    </row>
    <row r="3" spans="1:10" ht="18.75" customHeight="1" x14ac:dyDescent="0.2">
      <c r="A3" s="803"/>
      <c r="B3" s="804" t="s">
        <v>1756</v>
      </c>
      <c r="C3" s="797" t="str">
        <f>IF(Date="","",Date)</f>
        <v/>
      </c>
    </row>
    <row r="4" spans="1:10" ht="41.25" customHeight="1" x14ac:dyDescent="0.2">
      <c r="A4" s="913" t="s">
        <v>1480</v>
      </c>
      <c r="B4" s="913"/>
      <c r="C4" s="913"/>
      <c r="D4" s="913"/>
      <c r="E4" s="913"/>
      <c r="F4" s="913"/>
      <c r="G4" s="913"/>
      <c r="H4" s="913"/>
      <c r="I4" s="913"/>
    </row>
    <row r="5" spans="1:10" ht="24.75" customHeight="1" thickBot="1" x14ac:dyDescent="0.25">
      <c r="A5" s="915" t="str">
        <f>IF(D6="Other County/State","Please contact HCD to receive a workbook with applicable county information.","")</f>
        <v/>
      </c>
      <c r="B5" s="915"/>
      <c r="C5" s="915"/>
      <c r="D5" s="915"/>
      <c r="E5" s="915"/>
      <c r="F5" s="915"/>
      <c r="G5" s="915"/>
      <c r="H5" s="915"/>
      <c r="I5" s="915"/>
      <c r="J5" s="915"/>
    </row>
    <row r="6" spans="1:10" ht="16.5" customHeight="1" thickBot="1" x14ac:dyDescent="0.25">
      <c r="A6" s="47" t="s">
        <v>588</v>
      </c>
      <c r="B6" s="48"/>
      <c r="C6" s="48"/>
      <c r="D6" s="909" t="str">
        <f>IF('Project Information'!B7="","",'Project Information'!B7)</f>
        <v/>
      </c>
      <c r="E6" s="910"/>
      <c r="F6" s="910"/>
      <c r="G6" s="911"/>
      <c r="H6" s="49" t="str" cm="1">
        <f t="array" ref="H6">IF(YEAR(Date)&lt;2021, TEXT(Date,"yyyy"), INDEX(Effective_Date_Year, MATCH(MAX(IF(Effective_Date&lt;=Date, Effective_Date)), Effective_Date, 0), 1))</f>
        <v>1900</v>
      </c>
      <c r="J6" s="46"/>
    </row>
    <row r="7" spans="1:10" ht="17.25" customHeight="1" thickBot="1" x14ac:dyDescent="0.25">
      <c r="A7" s="47" t="s">
        <v>144</v>
      </c>
      <c r="B7" s="50"/>
      <c r="E7" s="906" t="str">
        <f ca="1">IF(YEAR(Date)&lt;2021, IF(H6="1900","",IF(D6="","",IF($D$6="Other County/State","",INDEX('Income Limits'!C3:AZ402,MATCH(D6,County,0),MATCH(H6,Year,1))))), IF($D$6="Other County/State", "", INDEX(INDIRECT("USDA_" &amp; $H$6 &amp; "_Income_Limits"), MATCH($D$6, USDA_Counties, 0), 1)))</f>
        <v/>
      </c>
      <c r="F7" s="907"/>
      <c r="G7" s="908"/>
      <c r="H7" s="919"/>
      <c r="I7" s="920"/>
      <c r="J7" s="38"/>
    </row>
    <row r="8" spans="1:10" ht="3" customHeight="1" x14ac:dyDescent="0.35">
      <c r="A8" s="51"/>
      <c r="B8" s="52"/>
      <c r="C8" s="53"/>
      <c r="D8" s="53"/>
      <c r="E8" s="54"/>
      <c r="F8" s="55"/>
      <c r="G8" s="53"/>
      <c r="H8" s="53"/>
      <c r="I8" s="56"/>
    </row>
    <row r="9" spans="1:10" ht="52.5" customHeight="1" x14ac:dyDescent="0.2">
      <c r="A9" s="57" t="s">
        <v>1594</v>
      </c>
      <c r="B9" s="916" t="s">
        <v>1</v>
      </c>
      <c r="C9" s="917"/>
      <c r="D9" s="917"/>
      <c r="E9" s="917"/>
      <c r="F9" s="917"/>
      <c r="G9" s="917"/>
      <c r="H9" s="917"/>
      <c r="I9" s="918"/>
    </row>
    <row r="10" spans="1:10" x14ac:dyDescent="0.2">
      <c r="A10" s="58"/>
      <c r="B10" s="545">
        <v>1</v>
      </c>
      <c r="C10" s="59">
        <v>2</v>
      </c>
      <c r="D10" s="545">
        <v>3</v>
      </c>
      <c r="E10" s="545">
        <v>4</v>
      </c>
      <c r="F10" s="545">
        <v>5</v>
      </c>
      <c r="G10" s="545">
        <v>6</v>
      </c>
      <c r="H10" s="545">
        <v>7</v>
      </c>
      <c r="I10" s="546">
        <v>8</v>
      </c>
    </row>
    <row r="11" spans="1:10" x14ac:dyDescent="0.2">
      <c r="A11" s="58" t="s">
        <v>81</v>
      </c>
      <c r="B11" s="60" t="e">
        <f t="shared" ref="B11:B16" ca="1" si="0">IF(YEAR(Date)&lt;2021, (E11*0.7), E11)</f>
        <v>#VALUE!</v>
      </c>
      <c r="C11" s="60" t="e">
        <f t="shared" ref="C11:C16" ca="1" si="1">IF(YEAR(Date)&lt;2021, (E11*0.8), E11)</f>
        <v>#VALUE!</v>
      </c>
      <c r="D11" s="60" t="e">
        <f t="shared" ref="D11:D16" ca="1" si="2">IF(YEAR(Date)&lt;2021, (E11*0.9), E11)</f>
        <v>#VALUE!</v>
      </c>
      <c r="E11" s="60" t="e">
        <f ca="1">IF(YEAR(Date)&lt;2021, IF($D$6="Other County/State",$H$7*2*0.3,($E$7*2)*0.3), CEILING((E13*2*0.3), 1))</f>
        <v>#VALUE!</v>
      </c>
      <c r="F11" s="60" t="e">
        <f ca="1">IF(YEAR(Date)&lt;2021, (E11*1.08), CEILING((F13*2*0.3), 1))</f>
        <v>#VALUE!</v>
      </c>
      <c r="G11" s="60" t="e">
        <f t="shared" ref="G11:G16" ca="1" si="3">IF(YEAR(Date)&lt;2021, (E11*1.16), F11)</f>
        <v>#VALUE!</v>
      </c>
      <c r="H11" s="60" t="e">
        <f t="shared" ref="H11:H16" ca="1" si="4">IF(YEAR(Date)&lt;2021, (E11*1.24), F11)</f>
        <v>#VALUE!</v>
      </c>
      <c r="I11" s="61" t="e">
        <f t="shared" ref="I11:I16" ca="1" si="5">IF(YEAR(Date)&lt;2021, (E11*1.32), F11)</f>
        <v>#VALUE!</v>
      </c>
    </row>
    <row r="12" spans="1:10" x14ac:dyDescent="0.2">
      <c r="A12" s="58" t="s">
        <v>82</v>
      </c>
      <c r="B12" s="60" t="e">
        <f t="shared" ca="1" si="0"/>
        <v>#VALUE!</v>
      </c>
      <c r="C12" s="60" t="e">
        <f t="shared" ca="1" si="1"/>
        <v>#VALUE!</v>
      </c>
      <c r="D12" s="60" t="e">
        <f t="shared" ca="1" si="2"/>
        <v>#VALUE!</v>
      </c>
      <c r="E12" s="60" t="e">
        <f ca="1">IF(YEAR(Date)&lt;2021, IF($D$6="Other County/State",$H$7*2*0.4,($E$7*2)*0.4), CEILING(E13*2*0.4, 1))</f>
        <v>#VALUE!</v>
      </c>
      <c r="F12" s="60" t="e">
        <f ca="1">IF(YEAR(Date)&lt;2021, (E12*1.08), CEILING((F13*2*0.4), 1))</f>
        <v>#VALUE!</v>
      </c>
      <c r="G12" s="60" t="e">
        <f t="shared" ca="1" si="3"/>
        <v>#VALUE!</v>
      </c>
      <c r="H12" s="60" t="e">
        <f t="shared" ca="1" si="4"/>
        <v>#VALUE!</v>
      </c>
      <c r="I12" s="61" t="e">
        <f t="shared" ca="1" si="5"/>
        <v>#VALUE!</v>
      </c>
    </row>
    <row r="13" spans="1:10" x14ac:dyDescent="0.2">
      <c r="A13" s="58" t="s">
        <v>83</v>
      </c>
      <c r="B13" s="60" t="e">
        <f t="shared" ca="1" si="0"/>
        <v>#VALUE!</v>
      </c>
      <c r="C13" s="60" t="e">
        <f t="shared" ca="1" si="1"/>
        <v>#VALUE!</v>
      </c>
      <c r="D13" s="60" t="e">
        <f t="shared" ca="1" si="2"/>
        <v>#VALUE!</v>
      </c>
      <c r="E13" s="60" t="e">
        <f ca="1">IF(YEAR(Date)&lt;2021, IF($D$6="Other County/State",$H$7*2*0.5,($E$7*2)*0.5), INDEX(INDIRECT("USDA_" &amp; $H$6 &amp; "_Income_Limits"), MATCH($D$6, USDA_Counties, 0), 1))</f>
        <v>#VALUE!</v>
      </c>
      <c r="F13" s="60" t="e">
        <f ca="1">IF(YEAR(Date)&lt;2021, (E13*1.08), INDEX(INDIRECT("USDA_" &amp; $H$6 &amp; "_Income_Limits"), MATCH($D$6, USDA_Counties, 0), 2))</f>
        <v>#VALUE!</v>
      </c>
      <c r="G13" s="60" t="e">
        <f t="shared" ca="1" si="3"/>
        <v>#VALUE!</v>
      </c>
      <c r="H13" s="60" t="e">
        <f t="shared" ca="1" si="4"/>
        <v>#VALUE!</v>
      </c>
      <c r="I13" s="61" t="e">
        <f t="shared" ca="1" si="5"/>
        <v>#VALUE!</v>
      </c>
    </row>
    <row r="14" spans="1:10" x14ac:dyDescent="0.2">
      <c r="A14" s="58" t="s">
        <v>84</v>
      </c>
      <c r="B14" s="60" t="e">
        <f t="shared" ca="1" si="0"/>
        <v>#VALUE!</v>
      </c>
      <c r="C14" s="60" t="e">
        <f t="shared" ca="1" si="1"/>
        <v>#VALUE!</v>
      </c>
      <c r="D14" s="60" t="e">
        <f t="shared" ca="1" si="2"/>
        <v>#VALUE!</v>
      </c>
      <c r="E14" s="60" t="e">
        <f ca="1">IF(YEAR(Date)&lt;2021, IF($D$6="Other County/State",$H$7*2*0.6,($E$7*2)*0.6), CEILING(((E16-E13)/(0.8-0.5))*(0.6-0.5) + E13, 1))</f>
        <v>#VALUE!</v>
      </c>
      <c r="F14" s="60" t="e">
        <f ca="1">IF(YEAR(Date)&lt;2021, (E14*1.08), CEILING(((F16-F13)/(0.8-0.5))*(0.6-0.5) + F13, 1))</f>
        <v>#VALUE!</v>
      </c>
      <c r="G14" s="60" t="e">
        <f t="shared" ca="1" si="3"/>
        <v>#VALUE!</v>
      </c>
      <c r="H14" s="60" t="e">
        <f t="shared" ca="1" si="4"/>
        <v>#VALUE!</v>
      </c>
      <c r="I14" s="61" t="e">
        <f t="shared" ca="1" si="5"/>
        <v>#VALUE!</v>
      </c>
    </row>
    <row r="15" spans="1:10" x14ac:dyDescent="0.2">
      <c r="A15" s="58" t="s">
        <v>85</v>
      </c>
      <c r="B15" s="60" t="e">
        <f t="shared" ca="1" si="0"/>
        <v>#VALUE!</v>
      </c>
      <c r="C15" s="60" t="e">
        <f t="shared" ca="1" si="1"/>
        <v>#VALUE!</v>
      </c>
      <c r="D15" s="60" t="e">
        <f t="shared" ca="1" si="2"/>
        <v>#VALUE!</v>
      </c>
      <c r="E15" s="60" t="e">
        <f ca="1">IF(YEAR(Date)&lt;2021, IF($D$6="Other County/State",$H$7*2*0.7,($E$7*2)*0.7), CEILING(((E16-E13)/(0.8-0.5))*(0.7-0.5) + E13, 1))</f>
        <v>#VALUE!</v>
      </c>
      <c r="F15" s="60" t="e">
        <f ca="1">IF(YEAR(Date)&lt;2021, (E15*1.08), CEILING(((F16-F13)/(0.8-0.5))*(0.7-0.5) + F13, 1))</f>
        <v>#VALUE!</v>
      </c>
      <c r="G15" s="60" t="e">
        <f t="shared" ca="1" si="3"/>
        <v>#VALUE!</v>
      </c>
      <c r="H15" s="60" t="e">
        <f t="shared" ca="1" si="4"/>
        <v>#VALUE!</v>
      </c>
      <c r="I15" s="61" t="e">
        <f t="shared" ca="1" si="5"/>
        <v>#VALUE!</v>
      </c>
    </row>
    <row r="16" spans="1:10" ht="13.5" thickBot="1" x14ac:dyDescent="0.25">
      <c r="A16" s="62" t="s">
        <v>86</v>
      </c>
      <c r="B16" s="60" t="e">
        <f t="shared" ca="1" si="0"/>
        <v>#VALUE!</v>
      </c>
      <c r="C16" s="60" t="e">
        <f t="shared" ca="1" si="1"/>
        <v>#VALUE!</v>
      </c>
      <c r="D16" s="60" t="e">
        <f t="shared" ca="1" si="2"/>
        <v>#VALUE!</v>
      </c>
      <c r="E16" s="63" t="e">
        <f ca="1">IF(YEAR(Date)&lt;2021, IF($D$6="Other County/State",$H$7*2*0.8,($E$7*2)*0.8), INDEX(INDIRECT("USDA_"&amp;$H$6&amp;"_Income_Limits"),MATCH($D$6,USDA_Counties,0),3))</f>
        <v>#VALUE!</v>
      </c>
      <c r="F16" s="63" t="e">
        <f ca="1">IF(YEAR(Date)&lt;2021, (E16*1.08), INDEX(INDIRECT("USDA_" &amp; $H$6 &amp; "_Income_Limits"), MATCH($D$6, USDA_Counties, 0), 4))</f>
        <v>#VALUE!</v>
      </c>
      <c r="G16" s="60" t="e">
        <f t="shared" ca="1" si="3"/>
        <v>#VALUE!</v>
      </c>
      <c r="H16" s="60" t="e">
        <f t="shared" ca="1" si="4"/>
        <v>#VALUE!</v>
      </c>
      <c r="I16" s="61" t="e">
        <f t="shared" ca="1" si="5"/>
        <v>#VALUE!</v>
      </c>
    </row>
    <row r="17" spans="1:18" ht="22.5" customHeight="1" thickBot="1" x14ac:dyDescent="0.25">
      <c r="A17" s="914" t="str">
        <f>IF(AND('Project Information'!E5="",'Project Information'!B6="",'Project Information'!B7=""),"The Project Information tab must be completed to make this worksheet accessible.",IF('Project Information'!B8="Colorado","Reflect homeless units in the &lt;=30% AMI category, if applicable.",""))</f>
        <v>The Project Information tab must be completed to make this worksheet accessible.</v>
      </c>
      <c r="B17" s="914"/>
      <c r="C17" s="914"/>
      <c r="D17" s="914"/>
      <c r="E17" s="914"/>
      <c r="F17" s="914"/>
      <c r="G17" s="914"/>
      <c r="H17" s="914"/>
      <c r="I17" s="914"/>
    </row>
    <row r="18" spans="1:18" ht="34.5" thickBot="1" x14ac:dyDescent="0.25">
      <c r="A18" s="64" t="s">
        <v>140</v>
      </c>
      <c r="B18" s="65"/>
      <c r="C18" s="66" t="s">
        <v>139</v>
      </c>
      <c r="D18" s="66" t="s">
        <v>76</v>
      </c>
      <c r="E18" s="66" t="s">
        <v>138</v>
      </c>
      <c r="F18" s="67" t="s">
        <v>136</v>
      </c>
      <c r="G18" s="68" t="s">
        <v>637</v>
      </c>
      <c r="H18" s="69" t="s">
        <v>137</v>
      </c>
    </row>
    <row r="19" spans="1:18" ht="13.5" thickBot="1" x14ac:dyDescent="0.25">
      <c r="A19" s="894" t="s">
        <v>78</v>
      </c>
      <c r="B19" s="895"/>
      <c r="C19" s="70" t="s">
        <v>87</v>
      </c>
      <c r="D19" s="607"/>
      <c r="E19" s="71" t="e">
        <f ca="1">(B11/12)*0.3</f>
        <v>#VALUE!</v>
      </c>
      <c r="F19" s="624"/>
      <c r="G19" s="625"/>
      <c r="H19" s="616">
        <f>(F19+G19)*D19*12</f>
        <v>0</v>
      </c>
    </row>
    <row r="20" spans="1:18" x14ac:dyDescent="0.2">
      <c r="A20" s="896"/>
      <c r="B20" s="897"/>
      <c r="C20" s="72" t="s">
        <v>88</v>
      </c>
      <c r="D20" s="608"/>
      <c r="E20" s="73" t="e">
        <f ca="1">(((B11+C11)/2)/12)*0.3</f>
        <v>#VALUE!</v>
      </c>
      <c r="F20" s="626"/>
      <c r="G20" s="627"/>
      <c r="H20" s="617">
        <f t="shared" ref="H20:H59" si="6">(F20+G20)*D20*12</f>
        <v>0</v>
      </c>
      <c r="I20" s="888" t="s">
        <v>116</v>
      </c>
      <c r="J20" s="889"/>
    </row>
    <row r="21" spans="1:18" ht="13.5" thickBot="1" x14ac:dyDescent="0.25">
      <c r="A21" s="896"/>
      <c r="B21" s="897"/>
      <c r="C21" s="72" t="s">
        <v>89</v>
      </c>
      <c r="D21" s="608"/>
      <c r="E21" s="73" t="e">
        <f ca="1">(D11/12)*0.3</f>
        <v>#VALUE!</v>
      </c>
      <c r="F21" s="626"/>
      <c r="G21" s="627"/>
      <c r="H21" s="617">
        <f t="shared" si="6"/>
        <v>0</v>
      </c>
      <c r="I21" s="890"/>
      <c r="J21" s="891"/>
      <c r="Q21" s="2" t="s">
        <v>1334</v>
      </c>
    </row>
    <row r="22" spans="1:18" x14ac:dyDescent="0.2">
      <c r="A22" s="896"/>
      <c r="B22" s="897"/>
      <c r="C22" s="74" t="s">
        <v>90</v>
      </c>
      <c r="D22" s="609"/>
      <c r="E22" s="73" t="e">
        <f ca="1">((E11+F11)/2/12)*0.3</f>
        <v>#VALUE!</v>
      </c>
      <c r="F22" s="626"/>
      <c r="G22" s="627"/>
      <c r="H22" s="617">
        <f t="shared" si="6"/>
        <v>0</v>
      </c>
      <c r="I22" s="900" t="s">
        <v>87</v>
      </c>
      <c r="J22" s="912">
        <f>D19+D24+D29+D34+D39+D44+D49+D54</f>
        <v>0</v>
      </c>
      <c r="Q22" s="900" t="s">
        <v>87</v>
      </c>
      <c r="R22" s="2">
        <f>D19+D24+D29+D34+D39+D44+D49+D54</f>
        <v>0</v>
      </c>
    </row>
    <row r="23" spans="1:18" ht="13.5" thickBot="1" x14ac:dyDescent="0.25">
      <c r="A23" s="898"/>
      <c r="B23" s="899"/>
      <c r="C23" s="75" t="s">
        <v>91</v>
      </c>
      <c r="D23" s="610"/>
      <c r="E23" s="76" t="e">
        <f ca="1">(G11/12)*0.3</f>
        <v>#VALUE!</v>
      </c>
      <c r="F23" s="628"/>
      <c r="G23" s="629"/>
      <c r="H23" s="618">
        <f t="shared" si="6"/>
        <v>0</v>
      </c>
      <c r="I23" s="884"/>
      <c r="J23" s="882"/>
      <c r="Q23" s="884"/>
    </row>
    <row r="24" spans="1:18" x14ac:dyDescent="0.2">
      <c r="A24" s="894" t="s">
        <v>77</v>
      </c>
      <c r="B24" s="895"/>
      <c r="C24" s="77" t="s">
        <v>87</v>
      </c>
      <c r="D24" s="611"/>
      <c r="E24" s="78" t="e">
        <f ca="1">(B12/12)*0.3</f>
        <v>#VALUE!</v>
      </c>
      <c r="F24" s="624"/>
      <c r="G24" s="625"/>
      <c r="H24" s="619">
        <f t="shared" si="6"/>
        <v>0</v>
      </c>
      <c r="I24" s="884" t="s">
        <v>88</v>
      </c>
      <c r="J24" s="882">
        <f>D20+D25+D30+D35+D40+D45+D50+D55</f>
        <v>0</v>
      </c>
      <c r="Q24" s="884" t="s">
        <v>88</v>
      </c>
      <c r="R24" s="2">
        <f>D20+D25+D30+D35+D40+D45+D50+D55</f>
        <v>0</v>
      </c>
    </row>
    <row r="25" spans="1:18" x14ac:dyDescent="0.2">
      <c r="A25" s="896"/>
      <c r="B25" s="897"/>
      <c r="C25" s="72" t="s">
        <v>88</v>
      </c>
      <c r="D25" s="608"/>
      <c r="E25" s="73" t="e">
        <f ca="1">((B12+C12)/2/12)*0.3</f>
        <v>#VALUE!</v>
      </c>
      <c r="F25" s="626"/>
      <c r="G25" s="627"/>
      <c r="H25" s="617">
        <f t="shared" si="6"/>
        <v>0</v>
      </c>
      <c r="I25" s="884"/>
      <c r="J25" s="882"/>
      <c r="Q25" s="884"/>
    </row>
    <row r="26" spans="1:18" x14ac:dyDescent="0.2">
      <c r="A26" s="896"/>
      <c r="B26" s="897"/>
      <c r="C26" s="72" t="s">
        <v>89</v>
      </c>
      <c r="D26" s="608"/>
      <c r="E26" s="73" t="e">
        <f ca="1">(D12/12)*0.3</f>
        <v>#VALUE!</v>
      </c>
      <c r="F26" s="626"/>
      <c r="G26" s="627"/>
      <c r="H26" s="617">
        <f t="shared" si="6"/>
        <v>0</v>
      </c>
      <c r="I26" s="884" t="s">
        <v>89</v>
      </c>
      <c r="J26" s="882">
        <f>D21+D26+D31+D36+D41+D46+D51+D56</f>
        <v>0</v>
      </c>
      <c r="Q26" s="884" t="s">
        <v>89</v>
      </c>
      <c r="R26" s="2">
        <f>D21+D26+D31+D36+D41+D46+D56+D51</f>
        <v>0</v>
      </c>
    </row>
    <row r="27" spans="1:18" x14ac:dyDescent="0.2">
      <c r="A27" s="896"/>
      <c r="B27" s="897"/>
      <c r="C27" s="79" t="s">
        <v>90</v>
      </c>
      <c r="D27" s="608"/>
      <c r="E27" s="73" t="e">
        <f ca="1">((E12+F12)/2/12)*0.3</f>
        <v>#VALUE!</v>
      </c>
      <c r="F27" s="626"/>
      <c r="G27" s="627"/>
      <c r="H27" s="617">
        <f t="shared" si="6"/>
        <v>0</v>
      </c>
      <c r="I27" s="884"/>
      <c r="J27" s="882"/>
      <c r="Q27" s="884"/>
    </row>
    <row r="28" spans="1:18" ht="13.5" thickBot="1" x14ac:dyDescent="0.25">
      <c r="A28" s="898"/>
      <c r="B28" s="899"/>
      <c r="C28" s="75" t="s">
        <v>91</v>
      </c>
      <c r="D28" s="610"/>
      <c r="E28" s="76" t="e">
        <f ca="1">(G12/12)*0.3</f>
        <v>#VALUE!</v>
      </c>
      <c r="F28" s="628"/>
      <c r="G28" s="629"/>
      <c r="H28" s="618">
        <f t="shared" si="6"/>
        <v>0</v>
      </c>
      <c r="I28" s="884" t="s">
        <v>90</v>
      </c>
      <c r="J28" s="882">
        <f>D22+D27+D32+D37+D42+D47+D52+D57</f>
        <v>0</v>
      </c>
      <c r="Q28" s="884" t="s">
        <v>90</v>
      </c>
      <c r="R28" s="2">
        <f>D22+D27+D32+D37+D42+D47+D52+D57</f>
        <v>0</v>
      </c>
    </row>
    <row r="29" spans="1:18" x14ac:dyDescent="0.2">
      <c r="A29" s="894" t="s">
        <v>158</v>
      </c>
      <c r="B29" s="895"/>
      <c r="C29" s="77" t="s">
        <v>87</v>
      </c>
      <c r="D29" s="611"/>
      <c r="E29" s="78" t="e">
        <f ca="1">(B13/12)*0.3</f>
        <v>#VALUE!</v>
      </c>
      <c r="F29" s="624"/>
      <c r="G29" s="625"/>
      <c r="H29" s="619">
        <f t="shared" si="6"/>
        <v>0</v>
      </c>
      <c r="I29" s="884"/>
      <c r="J29" s="882"/>
      <c r="Q29" s="884"/>
    </row>
    <row r="30" spans="1:18" x14ac:dyDescent="0.2">
      <c r="A30" s="896"/>
      <c r="B30" s="897"/>
      <c r="C30" s="72" t="s">
        <v>88</v>
      </c>
      <c r="D30" s="608"/>
      <c r="E30" s="73" t="e">
        <f ca="1">((B13+C13)/2/12)*0.3</f>
        <v>#VALUE!</v>
      </c>
      <c r="F30" s="626"/>
      <c r="G30" s="627"/>
      <c r="H30" s="617">
        <f t="shared" si="6"/>
        <v>0</v>
      </c>
      <c r="I30" s="884" t="s">
        <v>91</v>
      </c>
      <c r="J30" s="882">
        <f>D23+D28+D33+D38+D43+D48+D53+D58</f>
        <v>0</v>
      </c>
      <c r="Q30" s="884" t="s">
        <v>91</v>
      </c>
      <c r="R30" s="2">
        <f>D23+D28+D33+D38+D43+D48+D53+D58</f>
        <v>0</v>
      </c>
    </row>
    <row r="31" spans="1:18" ht="13.5" thickBot="1" x14ac:dyDescent="0.25">
      <c r="A31" s="896"/>
      <c r="B31" s="897"/>
      <c r="C31" s="72" t="s">
        <v>89</v>
      </c>
      <c r="D31" s="608"/>
      <c r="E31" s="73" t="e">
        <f ca="1">(D13/12)*0.3</f>
        <v>#VALUE!</v>
      </c>
      <c r="F31" s="626"/>
      <c r="G31" s="627"/>
      <c r="H31" s="617">
        <f t="shared" si="6"/>
        <v>0</v>
      </c>
      <c r="I31" s="887"/>
      <c r="J31" s="883"/>
      <c r="Q31" s="887"/>
    </row>
    <row r="32" spans="1:18" x14ac:dyDescent="0.2">
      <c r="A32" s="896"/>
      <c r="B32" s="897"/>
      <c r="C32" s="74" t="s">
        <v>90</v>
      </c>
      <c r="D32" s="608"/>
      <c r="E32" s="73" t="e">
        <f ca="1">((E13+F13)/2/12)*0.3</f>
        <v>#VALUE!</v>
      </c>
      <c r="F32" s="626"/>
      <c r="G32" s="627"/>
      <c r="H32" s="617">
        <f t="shared" si="6"/>
        <v>0</v>
      </c>
      <c r="I32" s="903" t="s">
        <v>5</v>
      </c>
      <c r="J32" s="901">
        <f>SUM(J22:J31)</f>
        <v>0</v>
      </c>
    </row>
    <row r="33" spans="1:18" ht="13.5" thickBot="1" x14ac:dyDescent="0.25">
      <c r="A33" s="898"/>
      <c r="B33" s="899"/>
      <c r="C33" s="75" t="s">
        <v>91</v>
      </c>
      <c r="D33" s="610"/>
      <c r="E33" s="76" t="e">
        <f ca="1">(G13/12)*0.3</f>
        <v>#VALUE!</v>
      </c>
      <c r="F33" s="628"/>
      <c r="G33" s="629"/>
      <c r="H33" s="618">
        <f t="shared" si="6"/>
        <v>0</v>
      </c>
      <c r="I33" s="904"/>
      <c r="J33" s="902"/>
    </row>
    <row r="34" spans="1:18" x14ac:dyDescent="0.2">
      <c r="A34" s="894" t="s">
        <v>159</v>
      </c>
      <c r="B34" s="895"/>
      <c r="C34" s="77" t="s">
        <v>87</v>
      </c>
      <c r="D34" s="611"/>
      <c r="E34" s="78" t="e">
        <f ca="1">(B14/12)*0.3</f>
        <v>#VALUE!</v>
      </c>
      <c r="F34" s="624"/>
      <c r="G34" s="625"/>
      <c r="H34" s="616">
        <f t="shared" si="6"/>
        <v>0</v>
      </c>
      <c r="I34" s="80"/>
      <c r="J34" s="81"/>
    </row>
    <row r="35" spans="1:18" ht="13.5" thickBot="1" x14ac:dyDescent="0.25">
      <c r="A35" s="896"/>
      <c r="B35" s="897"/>
      <c r="C35" s="72" t="s">
        <v>88</v>
      </c>
      <c r="D35" s="608"/>
      <c r="E35" s="73" t="e">
        <f ca="1">((B14+C14)/2/12)*0.3</f>
        <v>#VALUE!</v>
      </c>
      <c r="F35" s="626"/>
      <c r="G35" s="627"/>
      <c r="H35" s="620">
        <f t="shared" si="6"/>
        <v>0</v>
      </c>
      <c r="I35" s="82"/>
      <c r="J35" s="83"/>
    </row>
    <row r="36" spans="1:18" x14ac:dyDescent="0.2">
      <c r="A36" s="896"/>
      <c r="B36" s="897"/>
      <c r="C36" s="72" t="s">
        <v>89</v>
      </c>
      <c r="D36" s="608"/>
      <c r="E36" s="73" t="e">
        <f ca="1">(D14/12)*0.3</f>
        <v>#VALUE!</v>
      </c>
      <c r="F36" s="626"/>
      <c r="G36" s="627"/>
      <c r="H36" s="617">
        <f t="shared" si="6"/>
        <v>0</v>
      </c>
      <c r="I36" s="888" t="s">
        <v>117</v>
      </c>
      <c r="J36" s="889"/>
    </row>
    <row r="37" spans="1:18" ht="13.5" thickBot="1" x14ac:dyDescent="0.25">
      <c r="A37" s="896"/>
      <c r="B37" s="897"/>
      <c r="C37" s="74" t="s">
        <v>90</v>
      </c>
      <c r="D37" s="608"/>
      <c r="E37" s="73" t="e">
        <f ca="1">((E14+F14)/2/12)*0.3</f>
        <v>#VALUE!</v>
      </c>
      <c r="F37" s="626"/>
      <c r="G37" s="627"/>
      <c r="H37" s="617">
        <f t="shared" si="6"/>
        <v>0</v>
      </c>
      <c r="I37" s="890"/>
      <c r="J37" s="891"/>
    </row>
    <row r="38" spans="1:18" ht="13.5" thickBot="1" x14ac:dyDescent="0.25">
      <c r="A38" s="898"/>
      <c r="B38" s="899"/>
      <c r="C38" s="75" t="s">
        <v>91</v>
      </c>
      <c r="D38" s="610"/>
      <c r="E38" s="76" t="e">
        <f ca="1">(G14/12)*0.3</f>
        <v>#VALUE!</v>
      </c>
      <c r="F38" s="628"/>
      <c r="G38" s="629"/>
      <c r="H38" s="618">
        <f t="shared" si="6"/>
        <v>0</v>
      </c>
      <c r="I38" s="886" t="s">
        <v>118</v>
      </c>
      <c r="J38" s="912">
        <f>SUM(D19:D23)</f>
        <v>0</v>
      </c>
    </row>
    <row r="39" spans="1:18" x14ac:dyDescent="0.2">
      <c r="A39" s="894" t="s">
        <v>160</v>
      </c>
      <c r="B39" s="895"/>
      <c r="C39" s="77" t="s">
        <v>87</v>
      </c>
      <c r="D39" s="611"/>
      <c r="E39" s="78" t="e">
        <f ca="1">(B15/12)*0.3</f>
        <v>#VALUE!</v>
      </c>
      <c r="F39" s="624"/>
      <c r="G39" s="625"/>
      <c r="H39" s="619">
        <f t="shared" si="6"/>
        <v>0</v>
      </c>
      <c r="I39" s="885"/>
      <c r="J39" s="882"/>
    </row>
    <row r="40" spans="1:18" x14ac:dyDescent="0.2">
      <c r="A40" s="896"/>
      <c r="B40" s="897"/>
      <c r="C40" s="72" t="s">
        <v>88</v>
      </c>
      <c r="D40" s="608"/>
      <c r="E40" s="73" t="e">
        <f ca="1">((B15+C15)/2/12)*0.3</f>
        <v>#VALUE!</v>
      </c>
      <c r="F40" s="626"/>
      <c r="G40" s="627"/>
      <c r="H40" s="617">
        <f t="shared" si="6"/>
        <v>0</v>
      </c>
      <c r="I40" s="885" t="s">
        <v>119</v>
      </c>
      <c r="J40" s="882">
        <f>SUM(D24:D28)</f>
        <v>0</v>
      </c>
      <c r="K40" s="84"/>
      <c r="Q40" s="85" t="s">
        <v>1301</v>
      </c>
      <c r="R40" s="86"/>
    </row>
    <row r="41" spans="1:18" x14ac:dyDescent="0.2">
      <c r="A41" s="896"/>
      <c r="B41" s="897"/>
      <c r="C41" s="72" t="s">
        <v>89</v>
      </c>
      <c r="D41" s="608"/>
      <c r="E41" s="73" t="e">
        <f ca="1">(D15/12)*0.3</f>
        <v>#VALUE!</v>
      </c>
      <c r="F41" s="626"/>
      <c r="G41" s="627"/>
      <c r="H41" s="617">
        <f t="shared" si="6"/>
        <v>0</v>
      </c>
      <c r="I41" s="885"/>
      <c r="J41" s="882"/>
      <c r="K41" s="84"/>
      <c r="Q41" s="87" t="s">
        <v>1302</v>
      </c>
      <c r="R41" s="88">
        <f>J38+J40+J42</f>
        <v>0</v>
      </c>
    </row>
    <row r="42" spans="1:18" x14ac:dyDescent="0.2">
      <c r="A42" s="896"/>
      <c r="B42" s="897"/>
      <c r="C42" s="74" t="s">
        <v>90</v>
      </c>
      <c r="D42" s="608"/>
      <c r="E42" s="73" t="e">
        <f ca="1">((E15+F15)/2/12)*0.3</f>
        <v>#VALUE!</v>
      </c>
      <c r="F42" s="626"/>
      <c r="G42" s="627"/>
      <c r="H42" s="617">
        <f t="shared" si="6"/>
        <v>0</v>
      </c>
      <c r="I42" s="885" t="s">
        <v>120</v>
      </c>
      <c r="J42" s="882">
        <f>SUM(D29:D33)</f>
        <v>0</v>
      </c>
      <c r="K42" s="84"/>
      <c r="Q42" s="87" t="s">
        <v>1303</v>
      </c>
      <c r="R42" s="89">
        <f>J44</f>
        <v>0</v>
      </c>
    </row>
    <row r="43" spans="1:18" ht="13.5" thickBot="1" x14ac:dyDescent="0.25">
      <c r="A43" s="898"/>
      <c r="B43" s="899"/>
      <c r="C43" s="75" t="s">
        <v>91</v>
      </c>
      <c r="D43" s="610"/>
      <c r="E43" s="76" t="e">
        <f ca="1">(G15/12)*0.3</f>
        <v>#VALUE!</v>
      </c>
      <c r="F43" s="628"/>
      <c r="G43" s="629"/>
      <c r="H43" s="618">
        <f t="shared" si="6"/>
        <v>0</v>
      </c>
      <c r="I43" s="885"/>
      <c r="J43" s="882"/>
      <c r="K43" s="90"/>
      <c r="Q43" s="87" t="s">
        <v>1304</v>
      </c>
      <c r="R43" s="89">
        <f>J46+J48</f>
        <v>0</v>
      </c>
    </row>
    <row r="44" spans="1:18" x14ac:dyDescent="0.2">
      <c r="A44" s="894" t="s">
        <v>161</v>
      </c>
      <c r="B44" s="895"/>
      <c r="C44" s="77" t="s">
        <v>87</v>
      </c>
      <c r="D44" s="611"/>
      <c r="E44" s="78" t="e">
        <f ca="1">(B16/12)*0.3</f>
        <v>#VALUE!</v>
      </c>
      <c r="F44" s="624"/>
      <c r="G44" s="630"/>
      <c r="H44" s="621">
        <f t="shared" si="6"/>
        <v>0</v>
      </c>
      <c r="I44" s="885" t="s">
        <v>121</v>
      </c>
      <c r="J44" s="882">
        <f>SUM(D34:D38)</f>
        <v>0</v>
      </c>
      <c r="Q44" s="25" t="s">
        <v>1305</v>
      </c>
      <c r="R44" s="89">
        <f>J50+J52</f>
        <v>0</v>
      </c>
    </row>
    <row r="45" spans="1:18" x14ac:dyDescent="0.2">
      <c r="A45" s="896"/>
      <c r="B45" s="897"/>
      <c r="C45" s="72" t="s">
        <v>88</v>
      </c>
      <c r="D45" s="608"/>
      <c r="E45" s="73" t="e">
        <f ca="1">((B16+C16)/2/12)*0.3</f>
        <v>#VALUE!</v>
      </c>
      <c r="F45" s="626"/>
      <c r="G45" s="627"/>
      <c r="H45" s="617">
        <f t="shared" si="6"/>
        <v>0</v>
      </c>
      <c r="I45" s="885"/>
      <c r="J45" s="882"/>
      <c r="Q45" s="25" t="s">
        <v>2</v>
      </c>
      <c r="R45" s="91">
        <f>SUM(R41:R44)</f>
        <v>0</v>
      </c>
    </row>
    <row r="46" spans="1:18" x14ac:dyDescent="0.2">
      <c r="A46" s="896"/>
      <c r="B46" s="897"/>
      <c r="C46" s="72" t="s">
        <v>89</v>
      </c>
      <c r="D46" s="608"/>
      <c r="E46" s="73" t="e">
        <f ca="1">(D16/12)*0.3</f>
        <v>#VALUE!</v>
      </c>
      <c r="F46" s="626"/>
      <c r="G46" s="627"/>
      <c r="H46" s="617">
        <f t="shared" si="6"/>
        <v>0</v>
      </c>
      <c r="I46" s="885" t="s">
        <v>122</v>
      </c>
      <c r="J46" s="882">
        <f>SUM(D39:D43)</f>
        <v>0</v>
      </c>
    </row>
    <row r="47" spans="1:18" x14ac:dyDescent="0.2">
      <c r="A47" s="896"/>
      <c r="B47" s="897"/>
      <c r="C47" s="74" t="s">
        <v>90</v>
      </c>
      <c r="D47" s="608"/>
      <c r="E47" s="73" t="e">
        <f ca="1">((E16+F16)/2/12)*0.3</f>
        <v>#VALUE!</v>
      </c>
      <c r="F47" s="626"/>
      <c r="G47" s="627"/>
      <c r="H47" s="617">
        <f t="shared" si="6"/>
        <v>0</v>
      </c>
      <c r="I47" s="885"/>
      <c r="J47" s="882"/>
    </row>
    <row r="48" spans="1:18" ht="13.5" thickBot="1" x14ac:dyDescent="0.25">
      <c r="A48" s="898"/>
      <c r="B48" s="899"/>
      <c r="C48" s="75" t="s">
        <v>91</v>
      </c>
      <c r="D48" s="610"/>
      <c r="E48" s="76" t="e">
        <f ca="1">(G16/12)*0.3</f>
        <v>#VALUE!</v>
      </c>
      <c r="F48" s="628"/>
      <c r="G48" s="631"/>
      <c r="H48" s="617">
        <f t="shared" si="6"/>
        <v>0</v>
      </c>
      <c r="I48" s="885" t="s">
        <v>123</v>
      </c>
      <c r="J48" s="882">
        <f>SUM(D44:D48)</f>
        <v>0</v>
      </c>
    </row>
    <row r="49" spans="1:11" x14ac:dyDescent="0.2">
      <c r="A49" s="894" t="s">
        <v>79</v>
      </c>
      <c r="B49" s="895"/>
      <c r="C49" s="77" t="s">
        <v>87</v>
      </c>
      <c r="D49" s="612"/>
      <c r="E49" s="92"/>
      <c r="F49" s="632"/>
      <c r="G49" s="633"/>
      <c r="H49" s="619">
        <f t="shared" si="6"/>
        <v>0</v>
      </c>
      <c r="I49" s="885"/>
      <c r="J49" s="882"/>
    </row>
    <row r="50" spans="1:11" x14ac:dyDescent="0.2">
      <c r="A50" s="896"/>
      <c r="B50" s="897"/>
      <c r="C50" s="72" t="s">
        <v>88</v>
      </c>
      <c r="D50" s="613"/>
      <c r="E50" s="93"/>
      <c r="F50" s="634"/>
      <c r="G50" s="635"/>
      <c r="H50" s="617">
        <f t="shared" si="6"/>
        <v>0</v>
      </c>
      <c r="I50" s="892" t="s">
        <v>124</v>
      </c>
      <c r="J50" s="882">
        <f>SUM(D49:D53)</f>
        <v>0</v>
      </c>
      <c r="K50" s="84"/>
    </row>
    <row r="51" spans="1:11" x14ac:dyDescent="0.2">
      <c r="A51" s="896"/>
      <c r="B51" s="897"/>
      <c r="C51" s="72" t="s">
        <v>89</v>
      </c>
      <c r="D51" s="613"/>
      <c r="E51" s="93"/>
      <c r="F51" s="634"/>
      <c r="G51" s="635"/>
      <c r="H51" s="617">
        <f t="shared" si="6"/>
        <v>0</v>
      </c>
      <c r="I51" s="892"/>
      <c r="J51" s="882"/>
      <c r="K51" s="84"/>
    </row>
    <row r="52" spans="1:11" x14ac:dyDescent="0.2">
      <c r="A52" s="896"/>
      <c r="B52" s="897"/>
      <c r="C52" s="74" t="s">
        <v>90</v>
      </c>
      <c r="D52" s="613"/>
      <c r="E52" s="93"/>
      <c r="F52" s="634"/>
      <c r="G52" s="635"/>
      <c r="H52" s="617">
        <f t="shared" si="6"/>
        <v>0</v>
      </c>
      <c r="I52" s="892" t="s">
        <v>125</v>
      </c>
      <c r="J52" s="882">
        <f>SUM(D54:D59)</f>
        <v>0</v>
      </c>
      <c r="K52" s="84"/>
    </row>
    <row r="53" spans="1:11" ht="13.5" thickBot="1" x14ac:dyDescent="0.25">
      <c r="A53" s="898"/>
      <c r="B53" s="899"/>
      <c r="C53" s="75" t="s">
        <v>91</v>
      </c>
      <c r="D53" s="614"/>
      <c r="E53" s="94"/>
      <c r="F53" s="636"/>
      <c r="G53" s="637"/>
      <c r="H53" s="617">
        <f t="shared" si="6"/>
        <v>0</v>
      </c>
      <c r="I53" s="893"/>
      <c r="J53" s="883"/>
      <c r="K53" s="90"/>
    </row>
    <row r="54" spans="1:11" x14ac:dyDescent="0.2">
      <c r="A54" s="894" t="s">
        <v>80</v>
      </c>
      <c r="B54" s="895"/>
      <c r="C54" s="95" t="s">
        <v>87</v>
      </c>
      <c r="D54" s="612"/>
      <c r="E54" s="92"/>
      <c r="F54" s="638"/>
      <c r="G54" s="633"/>
      <c r="H54" s="616">
        <f t="shared" si="6"/>
        <v>0</v>
      </c>
      <c r="I54" s="941" t="s">
        <v>5</v>
      </c>
      <c r="J54" s="901">
        <f>SUM(J38:J53)</f>
        <v>0</v>
      </c>
    </row>
    <row r="55" spans="1:11" ht="13.5" thickBot="1" x14ac:dyDescent="0.25">
      <c r="A55" s="896"/>
      <c r="B55" s="897"/>
      <c r="C55" s="79" t="s">
        <v>88</v>
      </c>
      <c r="D55" s="613"/>
      <c r="E55" s="93"/>
      <c r="F55" s="634"/>
      <c r="G55" s="635"/>
      <c r="H55" s="620">
        <f t="shared" si="6"/>
        <v>0</v>
      </c>
      <c r="I55" s="942"/>
      <c r="J55" s="902"/>
      <c r="K55" s="84"/>
    </row>
    <row r="56" spans="1:11" x14ac:dyDescent="0.2">
      <c r="A56" s="896"/>
      <c r="B56" s="897"/>
      <c r="C56" s="79" t="s">
        <v>89</v>
      </c>
      <c r="D56" s="613"/>
      <c r="E56" s="93"/>
      <c r="F56" s="634"/>
      <c r="G56" s="635"/>
      <c r="H56" s="620">
        <f t="shared" si="6"/>
        <v>0</v>
      </c>
      <c r="I56" s="96"/>
      <c r="K56" s="84"/>
    </row>
    <row r="57" spans="1:11" x14ac:dyDescent="0.2">
      <c r="A57" s="896"/>
      <c r="B57" s="897"/>
      <c r="C57" s="79" t="s">
        <v>90</v>
      </c>
      <c r="D57" s="613"/>
      <c r="E57" s="93"/>
      <c r="F57" s="634"/>
      <c r="G57" s="635"/>
      <c r="H57" s="620">
        <f t="shared" si="6"/>
        <v>0</v>
      </c>
      <c r="I57" s="96"/>
      <c r="J57" s="97"/>
      <c r="K57" s="84"/>
    </row>
    <row r="58" spans="1:11" x14ac:dyDescent="0.2">
      <c r="A58" s="896"/>
      <c r="B58" s="897"/>
      <c r="C58" s="79" t="s">
        <v>91</v>
      </c>
      <c r="D58" s="613"/>
      <c r="E58" s="93"/>
      <c r="F58" s="634"/>
      <c r="G58" s="635"/>
      <c r="H58" s="620">
        <f t="shared" si="6"/>
        <v>0</v>
      </c>
      <c r="I58" s="96"/>
      <c r="K58" s="90"/>
    </row>
    <row r="59" spans="1:11" ht="13.5" thickBot="1" x14ac:dyDescent="0.25">
      <c r="A59" s="940"/>
      <c r="B59" s="897"/>
      <c r="C59" s="296"/>
      <c r="D59" s="615"/>
      <c r="E59" s="94"/>
      <c r="F59" s="636"/>
      <c r="G59" s="639"/>
      <c r="H59" s="622">
        <f t="shared" si="6"/>
        <v>0</v>
      </c>
      <c r="I59" s="96"/>
      <c r="K59" s="98"/>
    </row>
    <row r="60" spans="1:11" ht="13.5" thickBot="1" x14ac:dyDescent="0.25">
      <c r="A60" s="937" t="s">
        <v>2</v>
      </c>
      <c r="B60" s="938"/>
      <c r="C60" s="938"/>
      <c r="D60" s="295">
        <f>SUM(D19:D59)</f>
        <v>0</v>
      </c>
      <c r="E60" s="938" t="s">
        <v>589</v>
      </c>
      <c r="F60" s="938"/>
      <c r="G60" s="939"/>
      <c r="H60" s="623">
        <f>SUM(H19:H59)</f>
        <v>0</v>
      </c>
      <c r="I60" s="1"/>
      <c r="J60" s="38"/>
    </row>
    <row r="61" spans="1:11" ht="13.5" thickBot="1" x14ac:dyDescent="0.25">
      <c r="A61" s="935" t="s">
        <v>3</v>
      </c>
      <c r="B61" s="936"/>
      <c r="C61" s="936"/>
      <c r="D61" s="640">
        <f>SUM(D19:D33)</f>
        <v>0</v>
      </c>
      <c r="E61" s="931" t="s">
        <v>92</v>
      </c>
      <c r="F61" s="932"/>
      <c r="G61" s="932"/>
      <c r="H61" s="641">
        <f>SUM(D19:D23)</f>
        <v>0</v>
      </c>
    </row>
    <row r="62" spans="1:11" ht="13.5" thickBot="1" x14ac:dyDescent="0.25">
      <c r="A62" s="933" t="s">
        <v>4</v>
      </c>
      <c r="B62" s="934"/>
      <c r="C62" s="934"/>
      <c r="D62" s="294">
        <f>IF(D60=0,0,D61/D60)</f>
        <v>0</v>
      </c>
      <c r="E62" s="933" t="s">
        <v>157</v>
      </c>
      <c r="F62" s="934"/>
      <c r="G62" s="934"/>
      <c r="H62" s="295">
        <f>SUM(D19:D48)</f>
        <v>0</v>
      </c>
    </row>
    <row r="63" spans="1:11" x14ac:dyDescent="0.2">
      <c r="A63" s="930"/>
      <c r="B63" s="930"/>
      <c r="C63" s="930"/>
      <c r="D63" s="930"/>
      <c r="E63" s="930"/>
      <c r="F63" s="930"/>
      <c r="G63" s="930"/>
      <c r="H63" s="312"/>
    </row>
    <row r="64" spans="1:11" x14ac:dyDescent="0.2">
      <c r="A64" s="99"/>
    </row>
    <row r="65" spans="1:10" ht="13.5" thickBot="1" x14ac:dyDescent="0.25">
      <c r="A65" s="39" t="s">
        <v>1424</v>
      </c>
      <c r="E65" s="40"/>
    </row>
    <row r="66" spans="1:10" x14ac:dyDescent="0.2">
      <c r="A66" s="921"/>
      <c r="B66" s="922"/>
      <c r="C66" s="922"/>
      <c r="D66" s="922"/>
      <c r="E66" s="922"/>
      <c r="F66" s="922"/>
      <c r="G66" s="922"/>
      <c r="H66" s="922"/>
      <c r="I66" s="922"/>
      <c r="J66" s="923"/>
    </row>
    <row r="67" spans="1:10" x14ac:dyDescent="0.2">
      <c r="A67" s="924"/>
      <c r="B67" s="925"/>
      <c r="C67" s="925"/>
      <c r="D67" s="925"/>
      <c r="E67" s="925"/>
      <c r="F67" s="925"/>
      <c r="G67" s="925"/>
      <c r="H67" s="925"/>
      <c r="I67" s="925"/>
      <c r="J67" s="926"/>
    </row>
    <row r="68" spans="1:10" x14ac:dyDescent="0.2">
      <c r="A68" s="924"/>
      <c r="B68" s="925"/>
      <c r="C68" s="925"/>
      <c r="D68" s="925"/>
      <c r="E68" s="925"/>
      <c r="F68" s="925"/>
      <c r="G68" s="925"/>
      <c r="H68" s="925"/>
      <c r="I68" s="925"/>
      <c r="J68" s="926"/>
    </row>
    <row r="69" spans="1:10" x14ac:dyDescent="0.2">
      <c r="A69" s="924"/>
      <c r="B69" s="925"/>
      <c r="C69" s="925"/>
      <c r="D69" s="925"/>
      <c r="E69" s="925"/>
      <c r="F69" s="925"/>
      <c r="G69" s="925"/>
      <c r="H69" s="925"/>
      <c r="I69" s="925"/>
      <c r="J69" s="926"/>
    </row>
    <row r="70" spans="1:10" ht="13.5" thickBot="1" x14ac:dyDescent="0.25">
      <c r="A70" s="927"/>
      <c r="B70" s="928"/>
      <c r="C70" s="928"/>
      <c r="D70" s="928"/>
      <c r="E70" s="928"/>
      <c r="F70" s="928"/>
      <c r="G70" s="928"/>
      <c r="H70" s="928"/>
      <c r="I70" s="928"/>
      <c r="J70" s="929"/>
    </row>
    <row r="71" spans="1:10" x14ac:dyDescent="0.2">
      <c r="A71" s="100">
        <f>'Project Information'!C21</f>
        <v>0</v>
      </c>
      <c r="B71" s="45"/>
    </row>
  </sheetData>
  <sheetProtection algorithmName="SHA-512" hashValue="mLtJgiJ87AIFjpy/vrLaqTmmERHQueYBgyyGkdbx34OrD/ewDOD7T4cTTXBedyd01l7xZL4QDzWhAI3Jtht6Eg==" saltValue="Rpb9fw/CIxoe90RQaAQMUw==" spinCount="100000" sheet="1" selectLockedCells="1"/>
  <customSheetViews>
    <customSheetView guid="{695F2D09-97F7-4A62-ACE9-B0C2EFD91E95}" showGridLines="0">
      <selection activeCell="A65" sqref="A65:J69"/>
      <pageMargins left="0.7" right="0.7" top="0.75" bottom="0.75" header="0.3" footer="0.3"/>
      <printOptions horizontalCentered="1" verticalCentered="1"/>
      <pageSetup scale="71" orientation="portrait" r:id="rId1"/>
      <headerFooter>
        <oddHeader>&amp;C&amp;"Arial,Bold"&amp;11FHLBank Topeka - Affordable Housing Program 
&amp;A&amp;R&amp;D</oddHeader>
        <oddFooter>&amp;LRevised 3/17/15</oddFooter>
      </headerFooter>
    </customSheetView>
  </customSheetViews>
  <mergeCells count="62">
    <mergeCell ref="A66:J70"/>
    <mergeCell ref="A49:B53"/>
    <mergeCell ref="J50:J51"/>
    <mergeCell ref="J48:J49"/>
    <mergeCell ref="A63:G63"/>
    <mergeCell ref="E61:G61"/>
    <mergeCell ref="E62:G62"/>
    <mergeCell ref="A62:C62"/>
    <mergeCell ref="A61:C61"/>
    <mergeCell ref="I48:I49"/>
    <mergeCell ref="A60:C60"/>
    <mergeCell ref="E60:G60"/>
    <mergeCell ref="A54:B59"/>
    <mergeCell ref="I50:I51"/>
    <mergeCell ref="J54:J55"/>
    <mergeCell ref="I54:I55"/>
    <mergeCell ref="A34:B38"/>
    <mergeCell ref="A39:B43"/>
    <mergeCell ref="A44:B48"/>
    <mergeCell ref="I44:I45"/>
    <mergeCell ref="J44:J45"/>
    <mergeCell ref="J46:J47"/>
    <mergeCell ref="J40:J41"/>
    <mergeCell ref="J38:J39"/>
    <mergeCell ref="A1:I1"/>
    <mergeCell ref="A19:B23"/>
    <mergeCell ref="E7:G7"/>
    <mergeCell ref="D6:G6"/>
    <mergeCell ref="I20:J21"/>
    <mergeCell ref="I22:I23"/>
    <mergeCell ref="J22:J23"/>
    <mergeCell ref="C2:G2"/>
    <mergeCell ref="A4:I4"/>
    <mergeCell ref="A17:I17"/>
    <mergeCell ref="A5:J5"/>
    <mergeCell ref="B9:I9"/>
    <mergeCell ref="H7:I7"/>
    <mergeCell ref="I24:I25"/>
    <mergeCell ref="A24:B28"/>
    <mergeCell ref="Q22:Q23"/>
    <mergeCell ref="Q24:Q25"/>
    <mergeCell ref="Q26:Q27"/>
    <mergeCell ref="Q28:Q29"/>
    <mergeCell ref="A29:B33"/>
    <mergeCell ref="J32:J33"/>
    <mergeCell ref="J30:J31"/>
    <mergeCell ref="I32:I33"/>
    <mergeCell ref="Q30:Q31"/>
    <mergeCell ref="J28:J29"/>
    <mergeCell ref="J26:J27"/>
    <mergeCell ref="J24:J25"/>
    <mergeCell ref="J52:J53"/>
    <mergeCell ref="I28:I29"/>
    <mergeCell ref="I26:I27"/>
    <mergeCell ref="I42:I43"/>
    <mergeCell ref="I40:I41"/>
    <mergeCell ref="I38:I39"/>
    <mergeCell ref="I30:I31"/>
    <mergeCell ref="I46:I47"/>
    <mergeCell ref="I36:J37"/>
    <mergeCell ref="J42:J43"/>
    <mergeCell ref="I52:I53"/>
  </mergeCells>
  <phoneticPr fontId="12" type="noConversion"/>
  <conditionalFormatting sqref="A18:J62">
    <cfRule type="expression" dxfId="92" priority="4" stopIfTrue="1">
      <formula>$H$6=""</formula>
    </cfRule>
    <cfRule type="expression" dxfId="91" priority="5" stopIfTrue="1">
      <formula>$D$6=""</formula>
    </cfRule>
    <cfRule type="expression" dxfId="90" priority="6" stopIfTrue="1">
      <formula>AND($E$7="",$H$7="")</formula>
    </cfRule>
  </conditionalFormatting>
  <conditionalFormatting sqref="B11:I16">
    <cfRule type="containsErrors" dxfId="89" priority="1">
      <formula>ISERROR(B11)</formula>
    </cfRule>
  </conditionalFormatting>
  <conditionalFormatting sqref="F19:F48">
    <cfRule type="cellIs" dxfId="88" priority="16" operator="greaterThan">
      <formula>+E19</formula>
    </cfRule>
  </conditionalFormatting>
  <conditionalFormatting sqref="G19:G59">
    <cfRule type="expression" dxfId="87" priority="7">
      <formula>$A$71="Project and Rent Based"</formula>
    </cfRule>
    <cfRule type="expression" dxfId="86" priority="8">
      <formula>$A$71="Rent Based"</formula>
    </cfRule>
  </conditionalFormatting>
  <dataValidations xWindow="505" yWindow="314" count="2">
    <dataValidation allowBlank="1" showInputMessage="1" showErrorMessage="1" promptTitle="Explanation" prompt="Enter an explanation for any values that may need more detail. More detail is needed if a cost is lower or higher than normal, or if it is outside the maximum limits designated by FHLB or other funding source the project may be using (i.e. LIHTC)." sqref="A66" xr:uid="{00000000-0002-0000-0300-000000000000}"/>
    <dataValidation errorStyle="warning" allowBlank="1" errorTitle="Other County/State" error="This should ONLY be used if your county/state is not listed." promptTitle="ONLY for Other County/State!" prompt="Enter 50% AMI for a 4 person household for the County the Project is located.This information can be found at:  https://www.fhlbtopeka.com/community-programs-grant-programs-resources" sqref="H7" xr:uid="{00000000-0002-0000-0300-000001000000}"/>
  </dataValidations>
  <printOptions horizontalCentered="1" verticalCentered="1"/>
  <pageMargins left="0.7" right="0.7" top="0.75" bottom="0.75" header="0.3" footer="0.3"/>
  <pageSetup scale="68" orientation="portrait" r:id="rId2"/>
  <headerFooter>
    <oddHeader>&amp;C&amp;"Arial,Bold"&amp;11FHLBank Topeka - Affordable Housing Program 
&amp;A&amp;R&amp;D</oddHeader>
  </headerFooter>
  <cellWatches>
    <cellWatch r="E22"/>
  </cellWatches>
  <ignoredErrors>
    <ignoredError sqref="J46" formulaRange="1"/>
    <ignoredError sqref="B11 B12:B16 C11:I16" evalError="1"/>
  </ignoredErrors>
  <legacyDrawing r:id="rId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3">
    <tabColor rgb="FF00B0F0"/>
    <pageSetUpPr fitToPage="1"/>
  </sheetPr>
  <dimension ref="A1:K132"/>
  <sheetViews>
    <sheetView showGridLines="0" zoomScaleNormal="100" zoomScaleSheetLayoutView="100" workbookViewId="0">
      <pane ySplit="4" topLeftCell="A5" activePane="bottomLeft" state="frozen"/>
      <selection activeCell="E6" sqref="E6"/>
      <selection pane="bottomLeft" activeCell="C6" sqref="C6"/>
    </sheetView>
  </sheetViews>
  <sheetFormatPr defaultColWidth="7.85546875" defaultRowHeight="12.75" x14ac:dyDescent="0.2"/>
  <cols>
    <col min="1" max="1" width="17.28515625" style="493" customWidth="1"/>
    <col min="2" max="2" width="30" style="490" customWidth="1"/>
    <col min="3" max="5" width="20.28515625" style="492" customWidth="1"/>
    <col min="6" max="6" width="6.85546875" style="538" customWidth="1"/>
    <col min="7" max="7" width="7" style="496" customWidth="1"/>
    <col min="8" max="8" width="30.7109375" style="492" hidden="1" customWidth="1"/>
    <col min="9" max="9" width="6.42578125" style="490" hidden="1" customWidth="1"/>
    <col min="10" max="10" width="12.5703125" style="490" hidden="1" customWidth="1"/>
    <col min="11" max="11" width="45.28515625" style="490" hidden="1" customWidth="1"/>
    <col min="12" max="12" width="11.28515625" style="490" customWidth="1"/>
    <col min="13" max="13" width="7.85546875" style="490" customWidth="1"/>
    <col min="14" max="16384" width="7.85546875" style="490"/>
  </cols>
  <sheetData>
    <row r="1" spans="1:11" x14ac:dyDescent="0.2">
      <c r="A1" s="905" t="s">
        <v>184</v>
      </c>
      <c r="B1" s="905"/>
      <c r="C1" s="905"/>
      <c r="D1" s="905"/>
      <c r="E1" s="905"/>
      <c r="F1" s="905"/>
      <c r="G1" s="905"/>
      <c r="H1" s="905"/>
    </row>
    <row r="2" spans="1:11" x14ac:dyDescent="0.2">
      <c r="A2" s="905" t="s">
        <v>185</v>
      </c>
      <c r="B2" s="905"/>
      <c r="C2" s="905"/>
      <c r="D2" s="905"/>
      <c r="E2" s="905"/>
      <c r="F2" s="905"/>
      <c r="G2" s="905"/>
      <c r="H2" s="905"/>
    </row>
    <row r="3" spans="1:11" ht="15.75" customHeight="1" thickBot="1" x14ac:dyDescent="0.25">
      <c r="A3" s="953" t="str">
        <f>IF('Project Information'!B6="","",'Project Information'!B6)</f>
        <v/>
      </c>
      <c r="B3" s="953"/>
      <c r="C3" s="953"/>
      <c r="D3" s="953"/>
      <c r="E3" s="953"/>
      <c r="F3" s="953"/>
      <c r="G3" s="953"/>
      <c r="H3" s="953"/>
    </row>
    <row r="4" spans="1:11" x14ac:dyDescent="0.2">
      <c r="A4" s="796" t="s">
        <v>1754</v>
      </c>
      <c r="B4" s="797" t="str">
        <f>IF(Date="","",Date)</f>
        <v/>
      </c>
      <c r="C4" s="494" t="s">
        <v>653</v>
      </c>
      <c r="D4" s="494" t="s">
        <v>654</v>
      </c>
      <c r="E4" s="705" t="s">
        <v>1628</v>
      </c>
      <c r="F4" s="495"/>
      <c r="G4" s="490"/>
      <c r="H4" s="780" t="s">
        <v>1733</v>
      </c>
      <c r="J4" s="964" t="s">
        <v>1629</v>
      </c>
      <c r="K4" s="965"/>
    </row>
    <row r="5" spans="1:11" ht="13.5" thickBot="1" x14ac:dyDescent="0.25">
      <c r="A5" s="963" t="s">
        <v>6</v>
      </c>
      <c r="B5" s="963"/>
      <c r="F5" s="496"/>
      <c r="G5" s="490"/>
      <c r="H5" s="781"/>
      <c r="J5" s="706"/>
      <c r="K5" s="707"/>
    </row>
    <row r="6" spans="1:11" x14ac:dyDescent="0.2">
      <c r="A6" s="943" t="s">
        <v>7</v>
      </c>
      <c r="B6" s="944"/>
      <c r="C6" s="498"/>
      <c r="D6" s="498"/>
      <c r="E6" s="499">
        <f t="shared" ref="E6:E12" si="0">C6-H6</f>
        <v>0</v>
      </c>
      <c r="F6" s="500"/>
      <c r="G6" s="490"/>
      <c r="H6" s="714">
        <f>IF('Project Information'!$C$14="No",0,IF('Project Information'!$H$9=0,0,IF(D6="",(C6)*'Project Information'!$M$11,D6)))</f>
        <v>0</v>
      </c>
      <c r="J6" s="706"/>
      <c r="K6" s="707"/>
    </row>
    <row r="7" spans="1:11" x14ac:dyDescent="0.2">
      <c r="A7" s="943" t="s">
        <v>8</v>
      </c>
      <c r="B7" s="944"/>
      <c r="C7" s="498"/>
      <c r="D7" s="498"/>
      <c r="E7" s="499">
        <f t="shared" si="0"/>
        <v>0</v>
      </c>
      <c r="F7" s="500"/>
      <c r="G7" s="490"/>
      <c r="H7" s="502">
        <f>IF('Project Information'!$C$14="No",0,IF('Project Information'!$H$9=0,0,IF(D7="",(C7)*'Project Information'!$M$11,D7)))</f>
        <v>0</v>
      </c>
      <c r="J7" s="706"/>
      <c r="K7" s="707"/>
    </row>
    <row r="8" spans="1:11" x14ac:dyDescent="0.2">
      <c r="A8" s="943" t="s">
        <v>1435</v>
      </c>
      <c r="B8" s="944"/>
      <c r="C8" s="498"/>
      <c r="D8" s="498"/>
      <c r="E8" s="499">
        <f t="shared" si="0"/>
        <v>0</v>
      </c>
      <c r="F8" s="500"/>
      <c r="G8" s="490"/>
      <c r="H8" s="502">
        <f>IF('Project Information'!$C$14="No",0,IF('Project Information'!$H$9=0,0,IF(D8="",(C8)*'Project Information'!$M$11,D8)))</f>
        <v>0</v>
      </c>
      <c r="J8" s="706"/>
      <c r="K8" s="707"/>
    </row>
    <row r="9" spans="1:11" x14ac:dyDescent="0.2">
      <c r="A9" s="943" t="s">
        <v>24</v>
      </c>
      <c r="B9" s="944"/>
      <c r="C9" s="498"/>
      <c r="D9" s="498"/>
      <c r="E9" s="499">
        <f t="shared" si="0"/>
        <v>0</v>
      </c>
      <c r="F9" s="500"/>
      <c r="G9" s="490"/>
      <c r="H9" s="502">
        <f>IF('Project Information'!$C$14="No",0,IF('Project Information'!$H$9=0,0,IF(D9="",(C9)*'Project Information'!$M$11,D9)))</f>
        <v>0</v>
      </c>
      <c r="J9" s="706"/>
      <c r="K9" s="707"/>
    </row>
    <row r="10" spans="1:11" x14ac:dyDescent="0.2">
      <c r="A10" s="943" t="s">
        <v>23</v>
      </c>
      <c r="B10" s="944"/>
      <c r="C10" s="498"/>
      <c r="D10" s="498"/>
      <c r="E10" s="499">
        <f t="shared" si="0"/>
        <v>0</v>
      </c>
      <c r="F10" s="500"/>
      <c r="G10" s="490"/>
      <c r="H10" s="502">
        <f>IF('Project Information'!$C$14="No",0,IF('Project Information'!$H$9=0,0,IF(D10="",(C10)*'Project Information'!$M$11,D10)))</f>
        <v>0</v>
      </c>
      <c r="J10" s="708">
        <f>C8+C9+C10+C11</f>
        <v>0</v>
      </c>
      <c r="K10" s="707" t="s">
        <v>1355</v>
      </c>
    </row>
    <row r="11" spans="1:11" ht="13.5" thickBot="1" x14ac:dyDescent="0.25">
      <c r="A11" s="503" t="s">
        <v>651</v>
      </c>
      <c r="B11" s="504"/>
      <c r="C11" s="505"/>
      <c r="D11" s="505"/>
      <c r="E11" s="499">
        <f t="shared" si="0"/>
        <v>0</v>
      </c>
      <c r="F11" s="500"/>
      <c r="G11" s="490"/>
      <c r="H11" s="514">
        <f>IF('Project Information'!$C$14="No",0,IF('Project Information'!$H$9=0,0,IF(D11="",(C11)*'Project Information'!$M$11,D11)))</f>
        <v>0</v>
      </c>
      <c r="J11" s="706"/>
      <c r="K11" s="707"/>
    </row>
    <row r="12" spans="1:11" ht="13.5" thickBot="1" x14ac:dyDescent="0.25">
      <c r="A12" s="945" t="s">
        <v>10</v>
      </c>
      <c r="B12" s="946"/>
      <c r="C12" s="507">
        <f>SUM(C6:C11)</f>
        <v>0</v>
      </c>
      <c r="D12" s="507">
        <f>IFERROR(H12,0)</f>
        <v>0</v>
      </c>
      <c r="E12" s="508">
        <f t="shared" si="0"/>
        <v>0</v>
      </c>
      <c r="F12" s="500"/>
      <c r="G12" s="490"/>
      <c r="H12" s="509">
        <f>SUM(H6:H11)</f>
        <v>0</v>
      </c>
      <c r="J12" s="708" t="e">
        <f>(C12+C63)/'Rental Project Worksheet'!D60</f>
        <v>#DIV/0!</v>
      </c>
      <c r="K12" s="707" t="s">
        <v>1319</v>
      </c>
    </row>
    <row r="13" spans="1:11" x14ac:dyDescent="0.2">
      <c r="A13" s="510"/>
      <c r="B13" s="510"/>
      <c r="C13" s="511"/>
      <c r="D13" s="511"/>
      <c r="E13" s="500"/>
      <c r="F13" s="500"/>
      <c r="G13" s="490"/>
      <c r="H13" s="490"/>
      <c r="J13" s="706"/>
      <c r="K13" s="707"/>
    </row>
    <row r="14" spans="1:11" ht="13.5" thickBot="1" x14ac:dyDescent="0.25">
      <c r="A14" s="963" t="s">
        <v>107</v>
      </c>
      <c r="B14" s="963"/>
      <c r="E14" s="512"/>
      <c r="F14" s="500"/>
      <c r="G14" s="490"/>
      <c r="H14" s="490"/>
      <c r="J14" s="706"/>
      <c r="K14" s="707"/>
    </row>
    <row r="15" spans="1:11" x14ac:dyDescent="0.2">
      <c r="A15" s="943" t="s">
        <v>108</v>
      </c>
      <c r="B15" s="944"/>
      <c r="C15" s="498"/>
      <c r="D15" s="498"/>
      <c r="E15" s="513">
        <f t="shared" ref="E15:E25" si="1">C15-H15</f>
        <v>0</v>
      </c>
      <c r="F15" s="500"/>
      <c r="G15" s="490"/>
      <c r="H15" s="501">
        <f>IF('Project Information'!$C$14="No",0,IF('Project Information'!$H$9=0,0,IF(D15="",(C15)*('Project Information'!$M$11),D15)))</f>
        <v>0</v>
      </c>
      <c r="J15" s="706"/>
      <c r="K15" s="707"/>
    </row>
    <row r="16" spans="1:11" x14ac:dyDescent="0.2">
      <c r="A16" s="943" t="s">
        <v>75</v>
      </c>
      <c r="B16" s="944"/>
      <c r="C16" s="498"/>
      <c r="D16" s="498"/>
      <c r="E16" s="513">
        <f t="shared" si="1"/>
        <v>0</v>
      </c>
      <c r="F16" s="500"/>
      <c r="G16" s="490"/>
      <c r="H16" s="502">
        <f>IF('Project Information'!$C$14="No",0,IF('Project Information'!$H$9=0,0,IF(D16="",(C16)*('Project Information'!$M$11),D16)))</f>
        <v>0</v>
      </c>
      <c r="J16" s="706"/>
      <c r="K16" s="707"/>
    </row>
    <row r="17" spans="1:11" x14ac:dyDescent="0.2">
      <c r="A17" s="943" t="s">
        <v>11</v>
      </c>
      <c r="B17" s="944"/>
      <c r="C17" s="498"/>
      <c r="D17" s="498"/>
      <c r="E17" s="513">
        <f t="shared" si="1"/>
        <v>0</v>
      </c>
      <c r="F17" s="500"/>
      <c r="G17" s="490"/>
      <c r="H17" s="502">
        <f>IF('Project Information'!$C$14="No",0,IF('Project Information'!$H$9=0,0,IF(D17="",(C17)*('Project Information'!$M$11),D17)))</f>
        <v>0</v>
      </c>
      <c r="J17" s="706"/>
      <c r="K17" s="707"/>
    </row>
    <row r="18" spans="1:11" x14ac:dyDescent="0.2">
      <c r="A18" s="943" t="s">
        <v>1436</v>
      </c>
      <c r="B18" s="944"/>
      <c r="C18" s="498"/>
      <c r="D18" s="498"/>
      <c r="E18" s="513">
        <f t="shared" si="1"/>
        <v>0</v>
      </c>
      <c r="F18" s="500"/>
      <c r="G18" s="490"/>
      <c r="H18" s="502">
        <f>IF('Project Information'!$C$14="No",0,IF('Project Information'!$H$9=0,0,IF(D18="",(C18)*('Project Information'!$M$11),D18)))</f>
        <v>0</v>
      </c>
      <c r="J18" s="706"/>
      <c r="K18" s="707"/>
    </row>
    <row r="19" spans="1:11" x14ac:dyDescent="0.2">
      <c r="A19" s="943" t="s">
        <v>109</v>
      </c>
      <c r="B19" s="944"/>
      <c r="C19" s="498"/>
      <c r="D19" s="498"/>
      <c r="E19" s="513">
        <f t="shared" si="1"/>
        <v>0</v>
      </c>
      <c r="F19" s="500"/>
      <c r="G19" s="490"/>
      <c r="H19" s="502">
        <f>IF('Project Information'!$C$14="No",0,IF('Project Information'!$H$9=0,0,IF(D19="",(C19)*('Project Information'!$M$11),D19)))</f>
        <v>0</v>
      </c>
      <c r="J19" s="706"/>
      <c r="K19" s="707"/>
    </row>
    <row r="20" spans="1:11" x14ac:dyDescent="0.2">
      <c r="A20" s="943" t="s">
        <v>110</v>
      </c>
      <c r="B20" s="944"/>
      <c r="C20" s="498"/>
      <c r="D20" s="498"/>
      <c r="E20" s="513">
        <f t="shared" si="1"/>
        <v>0</v>
      </c>
      <c r="F20" s="500"/>
      <c r="G20" s="490"/>
      <c r="H20" s="502">
        <f>IF('Project Information'!$C$14="No",0,IF('Project Information'!$H$9=0,0,IF(D20="",(C20)*('Project Information'!$M$11),D20)))</f>
        <v>0</v>
      </c>
      <c r="J20" s="706"/>
      <c r="K20" s="707"/>
    </row>
    <row r="21" spans="1:11" x14ac:dyDescent="0.2">
      <c r="A21" s="943" t="s">
        <v>111</v>
      </c>
      <c r="B21" s="944"/>
      <c r="C21" s="498"/>
      <c r="D21" s="498"/>
      <c r="E21" s="513">
        <f t="shared" si="1"/>
        <v>0</v>
      </c>
      <c r="F21" s="500"/>
      <c r="G21" s="490"/>
      <c r="H21" s="502">
        <f>IF('Project Information'!$C$14="No",0,IF('Project Information'!$H$9=0,0,IF(D21="",(C21)*('Project Information'!$M$11),D21)))</f>
        <v>0</v>
      </c>
      <c r="J21" s="706"/>
      <c r="K21" s="707"/>
    </row>
    <row r="22" spans="1:11" x14ac:dyDescent="0.2">
      <c r="A22" s="943" t="s">
        <v>112</v>
      </c>
      <c r="B22" s="944"/>
      <c r="C22" s="498"/>
      <c r="D22" s="498"/>
      <c r="E22" s="513">
        <f t="shared" si="1"/>
        <v>0</v>
      </c>
      <c r="F22" s="500"/>
      <c r="G22" s="490"/>
      <c r="H22" s="502">
        <f>IF('Project Information'!$C$14="No",0,IF('Project Information'!$H$9=0,0,IF(D22="",(C22)*('Project Information'!$M$11),D22)))</f>
        <v>0</v>
      </c>
      <c r="J22" s="706"/>
      <c r="K22" s="707"/>
    </row>
    <row r="23" spans="1:11" x14ac:dyDescent="0.2">
      <c r="A23" s="943" t="s">
        <v>113</v>
      </c>
      <c r="B23" s="944"/>
      <c r="C23" s="498"/>
      <c r="D23" s="498"/>
      <c r="E23" s="513">
        <f t="shared" si="1"/>
        <v>0</v>
      </c>
      <c r="F23" s="500"/>
      <c r="G23" s="490"/>
      <c r="H23" s="502">
        <f>IF('Project Information'!$C$14="No",0,IF('Project Information'!$H$9=0,0,IF(D23="",(C23)*('Project Information'!$M$11),D23)))</f>
        <v>0</v>
      </c>
      <c r="J23" s="706"/>
      <c r="K23" s="707"/>
    </row>
    <row r="24" spans="1:11" ht="13.5" thickBot="1" x14ac:dyDescent="0.25">
      <c r="A24" s="503" t="s">
        <v>651</v>
      </c>
      <c r="B24" s="504"/>
      <c r="C24" s="498"/>
      <c r="D24" s="498"/>
      <c r="E24" s="513">
        <f t="shared" si="1"/>
        <v>0</v>
      </c>
      <c r="F24" s="500"/>
      <c r="G24" s="490"/>
      <c r="H24" s="506">
        <f>IF('Project Information'!$C$14="No",0,IF('Project Information'!$H$9=0,0,IF(D24="",(C24)*('Project Information'!$M$11),D24)))</f>
        <v>0</v>
      </c>
      <c r="J24" s="706"/>
      <c r="K24" s="707"/>
    </row>
    <row r="25" spans="1:11" ht="13.5" thickBot="1" x14ac:dyDescent="0.25">
      <c r="A25" s="945" t="s">
        <v>10</v>
      </c>
      <c r="B25" s="946"/>
      <c r="C25" s="515">
        <f>SUM(C15:C24)</f>
        <v>0</v>
      </c>
      <c r="D25" s="515">
        <f>IFERROR(H25,0)</f>
        <v>0</v>
      </c>
      <c r="E25" s="508">
        <f t="shared" si="1"/>
        <v>0</v>
      </c>
      <c r="F25" s="500"/>
      <c r="G25" s="490"/>
      <c r="H25" s="497">
        <f>SUM(H15:H24)</f>
        <v>0</v>
      </c>
      <c r="J25" s="709" t="e">
        <f>J26+J27</f>
        <v>#DIV/0!</v>
      </c>
      <c r="K25" s="707" t="s">
        <v>1402</v>
      </c>
    </row>
    <row r="26" spans="1:11" x14ac:dyDescent="0.2">
      <c r="A26" s="966" t="str">
        <f>IF(AND(A132="New Construction",C25=0),"Land Improvement costs must be reported separately from New Construction Costs.","")</f>
        <v/>
      </c>
      <c r="B26" s="966"/>
      <c r="C26" s="966"/>
      <c r="D26" s="966"/>
      <c r="E26" s="966"/>
      <c r="F26" s="500"/>
      <c r="G26" s="490"/>
      <c r="H26" s="490"/>
      <c r="J26" s="709" t="e">
        <f>C28+(C28/(C28+C29))*(C25+C30+C31+C32+C33+C37+C39)</f>
        <v>#DIV/0!</v>
      </c>
      <c r="K26" s="707" t="s">
        <v>1343</v>
      </c>
    </row>
    <row r="27" spans="1:11" ht="13.5" thickBot="1" x14ac:dyDescent="0.25">
      <c r="A27" s="963" t="s">
        <v>145</v>
      </c>
      <c r="B27" s="963"/>
      <c r="E27" s="516"/>
      <c r="F27" s="500"/>
      <c r="G27" s="490"/>
      <c r="H27" s="490"/>
      <c r="J27" s="709" t="e">
        <f>C29+(C29/(C29+C28))*(C25+C30+C31+C32+C33+C37+C39)</f>
        <v>#DIV/0!</v>
      </c>
      <c r="K27" s="707" t="s">
        <v>1342</v>
      </c>
    </row>
    <row r="28" spans="1:11" ht="12.75" customHeight="1" x14ac:dyDescent="0.2">
      <c r="A28" s="943" t="s">
        <v>93</v>
      </c>
      <c r="B28" s="944"/>
      <c r="C28" s="498"/>
      <c r="D28" s="498"/>
      <c r="E28" s="499">
        <f t="shared" ref="E28:E40" si="2">C28-H28</f>
        <v>0</v>
      </c>
      <c r="F28" s="500"/>
      <c r="G28" s="517"/>
      <c r="H28" s="501">
        <f>IF('Project Information'!$C$14="No",0,IF('Project Information'!$H$9=0,0,IF(D28="",(C28)*('Project Information'!$M$11),D28)))</f>
        <v>0</v>
      </c>
      <c r="J28" s="721" t="e">
        <f>(C28-D28)/'Project Information'!M14</f>
        <v>#DIV/0!</v>
      </c>
      <c r="K28" s="707" t="s">
        <v>1332</v>
      </c>
    </row>
    <row r="29" spans="1:11" x14ac:dyDescent="0.2">
      <c r="A29" s="943" t="s">
        <v>13</v>
      </c>
      <c r="B29" s="944"/>
      <c r="C29" s="498"/>
      <c r="D29" s="498"/>
      <c r="E29" s="499">
        <f t="shared" si="2"/>
        <v>0</v>
      </c>
      <c r="F29" s="500"/>
      <c r="G29" s="517"/>
      <c r="H29" s="502">
        <f>IF('Project Information'!$C$14="No",0,IF('Project Information'!$H$9=0,0,IF(D29="",(C29)*('Project Information'!$M$11),D29)))</f>
        <v>0</v>
      </c>
      <c r="J29" s="721" t="e">
        <f>(C29-D29)/'Project Information'!M13</f>
        <v>#DIV/0!</v>
      </c>
      <c r="K29" s="707" t="s">
        <v>1333</v>
      </c>
    </row>
    <row r="30" spans="1:11" x14ac:dyDescent="0.2">
      <c r="A30" s="943" t="s">
        <v>1437</v>
      </c>
      <c r="B30" s="944"/>
      <c r="C30" s="498"/>
      <c r="D30" s="498"/>
      <c r="E30" s="499">
        <f t="shared" si="2"/>
        <v>0</v>
      </c>
      <c r="F30" s="500"/>
      <c r="G30" s="490"/>
      <c r="H30" s="502">
        <f>IF('Project Information'!$C$14="No",0,IF('Project Information'!$H$9=0,0,IF(D30="",(C30)*('Project Information'!$M$11),D30)))</f>
        <v>0</v>
      </c>
      <c r="J30" s="706"/>
      <c r="K30" s="707"/>
    </row>
    <row r="31" spans="1:11" x14ac:dyDescent="0.2">
      <c r="A31" s="943" t="s">
        <v>94</v>
      </c>
      <c r="B31" s="944"/>
      <c r="C31" s="498"/>
      <c r="D31" s="498"/>
      <c r="E31" s="499">
        <f t="shared" si="2"/>
        <v>0</v>
      </c>
      <c r="F31" s="500"/>
      <c r="G31" s="518"/>
      <c r="H31" s="502">
        <f>IF('Project Information'!$C$14="No",0,IF('Project Information'!$H$9=0,0,IF(D31="",(C31)*('Project Information'!$M$11),D31)))</f>
        <v>0</v>
      </c>
      <c r="J31" s="710" t="e">
        <f>C31/(C28+C29+C30+C25)</f>
        <v>#DIV/0!</v>
      </c>
      <c r="K31" s="707" t="s">
        <v>1331</v>
      </c>
    </row>
    <row r="32" spans="1:11" x14ac:dyDescent="0.2">
      <c r="A32" s="943" t="s">
        <v>733</v>
      </c>
      <c r="B32" s="944"/>
      <c r="C32" s="498"/>
      <c r="D32" s="498"/>
      <c r="E32" s="499">
        <f t="shared" si="2"/>
        <v>0</v>
      </c>
      <c r="F32" s="500"/>
      <c r="G32" s="490"/>
      <c r="H32" s="502">
        <f>IF('Project Information'!$C$14="No",0,IF('Project Information'!$H$9=0,0,IF(D32="",(C32)*('Project Information'!$M$11),D32)))</f>
        <v>0</v>
      </c>
      <c r="J32" s="710" t="e">
        <f>C32/(C25+C28+C29+C30)</f>
        <v>#DIV/0!</v>
      </c>
      <c r="K32" s="707" t="s">
        <v>1335</v>
      </c>
    </row>
    <row r="33" spans="1:11" x14ac:dyDescent="0.2">
      <c r="A33" s="943" t="s">
        <v>734</v>
      </c>
      <c r="B33" s="944"/>
      <c r="C33" s="498"/>
      <c r="D33" s="498"/>
      <c r="E33" s="499">
        <f t="shared" si="2"/>
        <v>0</v>
      </c>
      <c r="F33" s="500"/>
      <c r="G33" s="490"/>
      <c r="H33" s="502">
        <f>IF('Project Information'!$C$14="No",0,IF('Project Information'!$H$9=0,0,IF(D33="",(C33)*('Project Information'!$M$11),D33)))</f>
        <v>0</v>
      </c>
      <c r="J33" s="710" t="e">
        <f>C33/(C25+C28+C29+C30)</f>
        <v>#DIV/0!</v>
      </c>
      <c r="K33" s="707" t="s">
        <v>1336</v>
      </c>
    </row>
    <row r="34" spans="1:11" x14ac:dyDescent="0.2">
      <c r="A34" s="943" t="s">
        <v>95</v>
      </c>
      <c r="B34" s="944"/>
      <c r="C34" s="498"/>
      <c r="D34" s="498"/>
      <c r="E34" s="499">
        <f t="shared" si="2"/>
        <v>0</v>
      </c>
      <c r="F34" s="500"/>
      <c r="G34" s="490"/>
      <c r="H34" s="502">
        <f>IF('Project Information'!$C$14="No",0,IF('Project Information'!$H$9=0,0,IF(D34="",(C34)*('Project Information'!$M$11),D34)))</f>
        <v>0</v>
      </c>
      <c r="J34" s="706"/>
      <c r="K34" s="707"/>
    </row>
    <row r="35" spans="1:11" x14ac:dyDescent="0.2">
      <c r="A35" s="947" t="s">
        <v>1598</v>
      </c>
      <c r="B35" s="948"/>
      <c r="C35" s="498"/>
      <c r="D35" s="498"/>
      <c r="E35" s="499">
        <f t="shared" si="2"/>
        <v>0</v>
      </c>
      <c r="F35" s="500"/>
      <c r="G35" s="490"/>
      <c r="H35" s="502">
        <f>IF('Project Information'!$C$14="No",0,IF('Project Information'!$H$9=0,0,IF(D35="",(C35)*('Project Information'!$M$11),D35)))</f>
        <v>0</v>
      </c>
      <c r="J35" s="706"/>
      <c r="K35" s="707"/>
    </row>
    <row r="36" spans="1:11" x14ac:dyDescent="0.2">
      <c r="A36" s="947" t="s">
        <v>1599</v>
      </c>
      <c r="B36" s="948"/>
      <c r="C36" s="498"/>
      <c r="D36" s="498"/>
      <c r="E36" s="499">
        <f t="shared" si="2"/>
        <v>0</v>
      </c>
      <c r="F36" s="500"/>
      <c r="G36" s="490"/>
      <c r="H36" s="502">
        <f>IF('Project Information'!$C$14="No",0,IF('Project Information'!$H$9=0,0,IF(D36="",(C36)*('Project Information'!$M$11),D36)))</f>
        <v>0</v>
      </c>
      <c r="J36" s="706"/>
      <c r="K36" s="707"/>
    </row>
    <row r="37" spans="1:11" x14ac:dyDescent="0.2">
      <c r="A37" s="947" t="s">
        <v>1600</v>
      </c>
      <c r="B37" s="948"/>
      <c r="C37" s="498"/>
      <c r="D37" s="505"/>
      <c r="E37" s="499">
        <f t="shared" si="2"/>
        <v>0</v>
      </c>
      <c r="F37" s="500"/>
      <c r="G37" s="490"/>
      <c r="H37" s="502">
        <f>IF('Project Information'!$C$14="No",0,IF('Project Information'!$H$9=0,0,IF(D37="",(C37)*('Project Information'!$M$11),D37)))</f>
        <v>0</v>
      </c>
      <c r="J37" s="706"/>
      <c r="K37" s="707"/>
    </row>
    <row r="38" spans="1:11" ht="25.5" x14ac:dyDescent="0.2">
      <c r="A38" s="692" t="s">
        <v>1601</v>
      </c>
      <c r="B38" s="693"/>
      <c r="C38" s="498"/>
      <c r="D38" s="505"/>
      <c r="E38" s="499">
        <f t="shared" si="2"/>
        <v>0</v>
      </c>
      <c r="F38" s="500"/>
      <c r="G38" s="490"/>
      <c r="H38" s="502">
        <f>IF('Project Information'!$C$14="No",0,IF('Project Information'!$H$9=0,0,IF(D38="",(C38)*('Project Information'!$M$11),D38)))</f>
        <v>0</v>
      </c>
      <c r="J38" s="706"/>
      <c r="K38" s="707"/>
    </row>
    <row r="39" spans="1:11" ht="42.75" customHeight="1" thickBot="1" x14ac:dyDescent="0.25">
      <c r="A39" s="692" t="s">
        <v>1602</v>
      </c>
      <c r="B39" s="693"/>
      <c r="C39" s="498"/>
      <c r="D39" s="505"/>
      <c r="E39" s="499">
        <f t="shared" si="2"/>
        <v>0</v>
      </c>
      <c r="F39" s="500"/>
      <c r="G39" s="490"/>
      <c r="H39" s="506">
        <f>IF('Project Information'!$C$14="No",0,IF('Project Information'!$H$9=0,0,IF(D39="",(C39)*('Project Information'!$M$11),D39)))</f>
        <v>0</v>
      </c>
      <c r="J39" s="706"/>
      <c r="K39" s="707"/>
    </row>
    <row r="40" spans="1:11" ht="13.5" thickBot="1" x14ac:dyDescent="0.25">
      <c r="A40" s="945" t="s">
        <v>10</v>
      </c>
      <c r="B40" s="946"/>
      <c r="C40" s="507">
        <f>SUM(C28:C39)</f>
        <v>0</v>
      </c>
      <c r="D40" s="507">
        <f>IFERROR(H40,0)</f>
        <v>0</v>
      </c>
      <c r="E40" s="508">
        <f t="shared" si="2"/>
        <v>0</v>
      </c>
      <c r="F40" s="500"/>
      <c r="G40" s="490"/>
      <c r="H40" s="497">
        <f>SUM(H28:H39)</f>
        <v>0</v>
      </c>
      <c r="J40" s="706"/>
      <c r="K40" s="707"/>
    </row>
    <row r="41" spans="1:11" x14ac:dyDescent="0.2">
      <c r="B41" s="493"/>
      <c r="E41" s="516"/>
      <c r="F41" s="500"/>
      <c r="G41" s="490"/>
      <c r="H41" s="490"/>
      <c r="J41" s="706"/>
      <c r="K41" s="707"/>
    </row>
    <row r="42" spans="1:11" ht="13.5" thickBot="1" x14ac:dyDescent="0.25">
      <c r="A42" s="963" t="s">
        <v>15</v>
      </c>
      <c r="B42" s="963"/>
      <c r="E42" s="516"/>
      <c r="F42" s="500"/>
      <c r="G42" s="490"/>
      <c r="H42" s="490"/>
      <c r="J42" s="706"/>
      <c r="K42" s="707"/>
    </row>
    <row r="43" spans="1:11" x14ac:dyDescent="0.2">
      <c r="A43" s="943" t="s">
        <v>1438</v>
      </c>
      <c r="B43" s="944"/>
      <c r="C43" s="498"/>
      <c r="D43" s="498"/>
      <c r="E43" s="499">
        <f t="shared" ref="E43:E51" si="3">C43-H43</f>
        <v>0</v>
      </c>
      <c r="F43" s="500"/>
      <c r="G43" s="490"/>
      <c r="H43" s="501">
        <f>IF('Project Information'!$C$14="No",0,IF('Project Information'!$H$9=0,0,IF(D43="",(C43)*('Project Information'!$M$11),D43)))</f>
        <v>0</v>
      </c>
      <c r="J43" s="706"/>
      <c r="K43" s="707"/>
    </row>
    <row r="44" spans="1:11" x14ac:dyDescent="0.2">
      <c r="A44" s="943" t="s">
        <v>12</v>
      </c>
      <c r="B44" s="944"/>
      <c r="C44" s="498"/>
      <c r="D44" s="498"/>
      <c r="E44" s="499">
        <f t="shared" si="3"/>
        <v>0</v>
      </c>
      <c r="F44" s="500"/>
      <c r="G44" s="490"/>
      <c r="H44" s="502">
        <f>IF('Project Information'!$C$14="No",0,IF('Project Information'!$H$9=0,0,IF(D44="",(C44)*('Project Information'!$M$11),D44)))</f>
        <v>0</v>
      </c>
      <c r="J44" s="706"/>
      <c r="K44" s="707"/>
    </row>
    <row r="45" spans="1:11" x14ac:dyDescent="0.2">
      <c r="A45" s="943" t="s">
        <v>1439</v>
      </c>
      <c r="B45" s="944"/>
      <c r="C45" s="498"/>
      <c r="D45" s="498"/>
      <c r="E45" s="499">
        <f t="shared" si="3"/>
        <v>0</v>
      </c>
      <c r="F45" s="500"/>
      <c r="G45" s="490"/>
      <c r="H45" s="502">
        <f>IF('Project Information'!$C$14="No",0,IF('Project Information'!$H$9=0,0,IF(D45="",(C45)*('Project Information'!$M$11),D45)))</f>
        <v>0</v>
      </c>
      <c r="J45" s="706"/>
      <c r="K45" s="707"/>
    </row>
    <row r="46" spans="1:11" x14ac:dyDescent="0.2">
      <c r="A46" s="943" t="s">
        <v>1440</v>
      </c>
      <c r="B46" s="944"/>
      <c r="C46" s="498"/>
      <c r="D46" s="498"/>
      <c r="E46" s="499">
        <f t="shared" si="3"/>
        <v>0</v>
      </c>
      <c r="F46" s="500"/>
      <c r="G46" s="490"/>
      <c r="H46" s="502">
        <f>IF('Project Information'!$C$14="No",0,IF('Project Information'!$H$9=0,0,IF(D46="",(C46)*('Project Information'!$M$11),D46)))</f>
        <v>0</v>
      </c>
      <c r="J46" s="706"/>
      <c r="K46" s="707"/>
    </row>
    <row r="47" spans="1:11" x14ac:dyDescent="0.2">
      <c r="A47" s="943" t="s">
        <v>1441</v>
      </c>
      <c r="B47" s="944"/>
      <c r="C47" s="498"/>
      <c r="D47" s="498"/>
      <c r="E47" s="499">
        <f t="shared" si="3"/>
        <v>0</v>
      </c>
      <c r="F47" s="500"/>
      <c r="G47" s="490"/>
      <c r="H47" s="502">
        <f>IF('Project Information'!$C$14="No",0,IF('Project Information'!$H$9=0,0,IF(D47="",(C47)*('Project Information'!$M$11),D47)))</f>
        <v>0</v>
      </c>
      <c r="J47" s="706"/>
      <c r="K47" s="707"/>
    </row>
    <row r="48" spans="1:11" x14ac:dyDescent="0.2">
      <c r="A48" s="943" t="s">
        <v>97</v>
      </c>
      <c r="B48" s="944"/>
      <c r="C48" s="498"/>
      <c r="D48" s="498"/>
      <c r="E48" s="499">
        <f t="shared" si="3"/>
        <v>0</v>
      </c>
      <c r="F48" s="500"/>
      <c r="G48" s="490"/>
      <c r="H48" s="502">
        <f>IF('Project Information'!$C$14="No",0,IF('Project Information'!$H$9=0,0,IF(D48="",(C48)*('Project Information'!$M$11),D48)))</f>
        <v>0</v>
      </c>
      <c r="J48" s="706"/>
      <c r="K48" s="707"/>
    </row>
    <row r="49" spans="1:11" x14ac:dyDescent="0.2">
      <c r="A49" s="943" t="s">
        <v>98</v>
      </c>
      <c r="B49" s="944"/>
      <c r="C49" s="498"/>
      <c r="D49" s="498"/>
      <c r="E49" s="499">
        <f t="shared" si="3"/>
        <v>0</v>
      </c>
      <c r="F49" s="500"/>
      <c r="G49" s="490"/>
      <c r="H49" s="502">
        <f>IF('Project Information'!$C$14="No",0,IF('Project Information'!$H$9=0,0,IF(D49="",(C49)*('Project Information'!$M$11),D49)))</f>
        <v>0</v>
      </c>
      <c r="J49" s="706"/>
      <c r="K49" s="707"/>
    </row>
    <row r="50" spans="1:11" ht="13.5" thickBot="1" x14ac:dyDescent="0.25">
      <c r="A50" s="503" t="s">
        <v>651</v>
      </c>
      <c r="B50" s="504"/>
      <c r="C50" s="498"/>
      <c r="D50" s="505"/>
      <c r="E50" s="499">
        <f t="shared" si="3"/>
        <v>0</v>
      </c>
      <c r="F50" s="500"/>
      <c r="G50" s="490"/>
      <c r="H50" s="506">
        <f>IF('Project Information'!$C$14="No",0,IF('Project Information'!$H$9=0,0,IF(D50="",(C50)*('Project Information'!$M$11),D50)))</f>
        <v>0</v>
      </c>
      <c r="J50" s="706"/>
      <c r="K50" s="707"/>
    </row>
    <row r="51" spans="1:11" ht="13.5" thickBot="1" x14ac:dyDescent="0.25">
      <c r="A51" s="945" t="s">
        <v>10</v>
      </c>
      <c r="B51" s="946"/>
      <c r="C51" s="507">
        <f>SUM(C43:C50)</f>
        <v>0</v>
      </c>
      <c r="D51" s="507">
        <f>IFERROR(H51,0)</f>
        <v>0</v>
      </c>
      <c r="E51" s="508">
        <f t="shared" si="3"/>
        <v>0</v>
      </c>
      <c r="F51" s="500"/>
      <c r="G51" s="490"/>
      <c r="H51" s="497">
        <f>SUM(H43:H50)</f>
        <v>0</v>
      </c>
      <c r="J51" s="706"/>
      <c r="K51" s="707"/>
    </row>
    <row r="52" spans="1:11" x14ac:dyDescent="0.2">
      <c r="B52" s="493"/>
      <c r="E52" s="516"/>
      <c r="F52" s="500"/>
      <c r="G52" s="490"/>
      <c r="H52" s="490"/>
      <c r="J52" s="706"/>
      <c r="K52" s="707"/>
    </row>
    <row r="53" spans="1:11" ht="13.5" thickBot="1" x14ac:dyDescent="0.25">
      <c r="A53" s="963" t="s">
        <v>16</v>
      </c>
      <c r="B53" s="963"/>
      <c r="E53" s="516"/>
      <c r="F53" s="500"/>
      <c r="G53" s="490"/>
      <c r="H53" s="490"/>
      <c r="J53" s="706"/>
      <c r="K53" s="707"/>
    </row>
    <row r="54" spans="1:11" x14ac:dyDescent="0.2">
      <c r="A54" s="943" t="s">
        <v>99</v>
      </c>
      <c r="B54" s="944"/>
      <c r="C54" s="498"/>
      <c r="D54" s="498"/>
      <c r="E54" s="499">
        <f t="shared" ref="E54:E67" si="4">C54-H54</f>
        <v>0</v>
      </c>
      <c r="F54" s="500"/>
      <c r="G54" s="490"/>
      <c r="H54" s="501">
        <f>IF('Project Information'!$C$14="No",0,IF('Project Information'!$H$9=0,0,IF(D54="",(C54)*('Project Information'!$M$11),D54)))</f>
        <v>0</v>
      </c>
      <c r="J54" s="706"/>
      <c r="K54" s="707"/>
    </row>
    <row r="55" spans="1:11" x14ac:dyDescent="0.2">
      <c r="A55" s="943" t="s">
        <v>17</v>
      </c>
      <c r="B55" s="944"/>
      <c r="C55" s="498"/>
      <c r="D55" s="498"/>
      <c r="E55" s="499">
        <f t="shared" si="4"/>
        <v>0</v>
      </c>
      <c r="F55" s="500"/>
      <c r="G55" s="490"/>
      <c r="H55" s="502">
        <f>IF('Project Information'!$C$14="No",0,IF('Project Information'!$H$9=0,0,IF(D55="",(C55)*('Project Information'!$M$11),D55)))</f>
        <v>0</v>
      </c>
      <c r="J55" s="708">
        <f>C54+C65</f>
        <v>0</v>
      </c>
      <c r="K55" s="707" t="s">
        <v>1309</v>
      </c>
    </row>
    <row r="56" spans="1:11" x14ac:dyDescent="0.2">
      <c r="A56" s="943" t="s">
        <v>18</v>
      </c>
      <c r="B56" s="944"/>
      <c r="C56" s="498"/>
      <c r="D56" s="498"/>
      <c r="E56" s="499">
        <f t="shared" si="4"/>
        <v>0</v>
      </c>
      <c r="F56" s="500"/>
      <c r="G56" s="490"/>
      <c r="H56" s="502">
        <f>IF('Project Information'!$C$14="No",0,IF('Project Information'!$H$9=0,0,IF(D56="",(C56)*('Project Information'!$M$11),D56)))</f>
        <v>0</v>
      </c>
      <c r="J56" s="708">
        <f>C58+C59+C60+C61+C62+C63+C64</f>
        <v>0</v>
      </c>
      <c r="K56" s="707" t="s">
        <v>1310</v>
      </c>
    </row>
    <row r="57" spans="1:11" x14ac:dyDescent="0.2">
      <c r="A57" s="943" t="s">
        <v>19</v>
      </c>
      <c r="B57" s="944"/>
      <c r="C57" s="498"/>
      <c r="D57" s="498"/>
      <c r="E57" s="499">
        <f t="shared" si="4"/>
        <v>0</v>
      </c>
      <c r="F57" s="500"/>
      <c r="G57" s="490"/>
      <c r="H57" s="502">
        <f>IF('Project Information'!$C$14="No",0,IF('Project Information'!$H$9=0,0,IF(D57="",(C57)*('Project Information'!$M$11),D57)))</f>
        <v>0</v>
      </c>
      <c r="J57" s="706"/>
      <c r="K57" s="707"/>
    </row>
    <row r="58" spans="1:11" x14ac:dyDescent="0.2">
      <c r="A58" s="943" t="s">
        <v>100</v>
      </c>
      <c r="B58" s="944"/>
      <c r="C58" s="498"/>
      <c r="D58" s="498"/>
      <c r="E58" s="499">
        <f t="shared" si="4"/>
        <v>0</v>
      </c>
      <c r="F58" s="500"/>
      <c r="G58" s="490"/>
      <c r="H58" s="502">
        <f>IF('Project Information'!$C$14="No",0,IF('Project Information'!$H$9=0,0,IF(D58="",(C58)*('Project Information'!$M$11),D58)))</f>
        <v>0</v>
      </c>
      <c r="J58" s="706"/>
      <c r="K58" s="707"/>
    </row>
    <row r="59" spans="1:11" x14ac:dyDescent="0.2">
      <c r="A59" s="943" t="s">
        <v>1442</v>
      </c>
      <c r="B59" s="944"/>
      <c r="C59" s="498"/>
      <c r="D59" s="498"/>
      <c r="E59" s="499">
        <f t="shared" si="4"/>
        <v>0</v>
      </c>
      <c r="F59" s="500"/>
      <c r="G59" s="490"/>
      <c r="H59" s="502">
        <f>IF('Project Information'!$C$14="No",0,IF('Project Information'!$H$9=0,0,IF(D59="",(C59)*('Project Information'!$M$11),D59)))</f>
        <v>0</v>
      </c>
      <c r="J59" s="706"/>
      <c r="K59" s="707"/>
    </row>
    <row r="60" spans="1:11" x14ac:dyDescent="0.2">
      <c r="A60" s="943" t="s">
        <v>20</v>
      </c>
      <c r="B60" s="944"/>
      <c r="C60" s="498"/>
      <c r="D60" s="498"/>
      <c r="E60" s="499">
        <f t="shared" si="4"/>
        <v>0</v>
      </c>
      <c r="F60" s="500"/>
      <c r="G60" s="490"/>
      <c r="H60" s="502">
        <f>IF('Project Information'!$C$14="No",0,IF('Project Information'!$H$9=0,0,IF(D60="",(C60)*('Project Information'!$M$11),D60)))</f>
        <v>0</v>
      </c>
      <c r="J60" s="706"/>
      <c r="K60" s="707"/>
    </row>
    <row r="61" spans="1:11" x14ac:dyDescent="0.2">
      <c r="A61" s="943" t="s">
        <v>21</v>
      </c>
      <c r="B61" s="944"/>
      <c r="C61" s="498"/>
      <c r="D61" s="498"/>
      <c r="E61" s="499">
        <f t="shared" si="4"/>
        <v>0</v>
      </c>
      <c r="F61" s="500"/>
      <c r="G61" s="490"/>
      <c r="H61" s="502">
        <f>IF('Project Information'!$C$14="No",0,IF('Project Information'!$H$9=0,0,IF(D61="",(C61)*('Project Information'!$M$11),D61)))</f>
        <v>0</v>
      </c>
      <c r="J61" s="706"/>
      <c r="K61" s="707"/>
    </row>
    <row r="62" spans="1:11" x14ac:dyDescent="0.2">
      <c r="A62" s="943" t="s">
        <v>22</v>
      </c>
      <c r="B62" s="944"/>
      <c r="C62" s="498"/>
      <c r="D62" s="498"/>
      <c r="E62" s="499">
        <f t="shared" si="4"/>
        <v>0</v>
      </c>
      <c r="F62" s="500"/>
      <c r="G62" s="490"/>
      <c r="H62" s="502">
        <f>IF('Project Information'!$C$14="No",0,IF('Project Information'!$H$9=0,0,IF(D62="",(C62)*('Project Information'!$M$11),D62)))</f>
        <v>0</v>
      </c>
      <c r="J62" s="706"/>
      <c r="K62" s="707"/>
    </row>
    <row r="63" spans="1:11" x14ac:dyDescent="0.2">
      <c r="A63" s="943" t="s">
        <v>23</v>
      </c>
      <c r="B63" s="944"/>
      <c r="C63" s="498"/>
      <c r="D63" s="498"/>
      <c r="E63" s="499">
        <f t="shared" si="4"/>
        <v>0</v>
      </c>
      <c r="F63" s="500"/>
      <c r="G63" s="490"/>
      <c r="H63" s="502">
        <f>IF('Project Information'!$C$14="No",0,IF('Project Information'!$H$9=0,0,IF(D63="",(C63)*('Project Information'!$M$11),D63)))</f>
        <v>0</v>
      </c>
      <c r="J63" s="706"/>
      <c r="K63" s="707"/>
    </row>
    <row r="64" spans="1:11" x14ac:dyDescent="0.2">
      <c r="A64" s="943" t="s">
        <v>101</v>
      </c>
      <c r="B64" s="944"/>
      <c r="C64" s="498"/>
      <c r="D64" s="498"/>
      <c r="E64" s="499">
        <f t="shared" si="4"/>
        <v>0</v>
      </c>
      <c r="F64" s="500"/>
      <c r="G64" s="490"/>
      <c r="H64" s="502">
        <f>IF('Project Information'!$C$14="No",0,IF('Project Information'!$H$9=0,0,IF(D64="",(C64)*('Project Information'!$M$11),D64)))</f>
        <v>0</v>
      </c>
      <c r="J64" s="706"/>
      <c r="K64" s="707"/>
    </row>
    <row r="65" spans="1:11" x14ac:dyDescent="0.2">
      <c r="A65" s="943" t="s">
        <v>68</v>
      </c>
      <c r="B65" s="944"/>
      <c r="C65" s="498"/>
      <c r="D65" s="498"/>
      <c r="E65" s="499">
        <f t="shared" si="4"/>
        <v>0</v>
      </c>
      <c r="F65" s="500"/>
      <c r="G65" s="490"/>
      <c r="H65" s="502">
        <f>IF('Project Information'!$C$14="No",0,IF('Project Information'!$H$9=0,0,IF(D65="",(C65)*('Project Information'!$M$11),D65)))</f>
        <v>0</v>
      </c>
      <c r="J65" s="706"/>
      <c r="K65" s="707"/>
    </row>
    <row r="66" spans="1:11" ht="13.5" thickBot="1" x14ac:dyDescent="0.25">
      <c r="A66" s="503" t="s">
        <v>651</v>
      </c>
      <c r="B66" s="504"/>
      <c r="C66" s="505"/>
      <c r="D66" s="505"/>
      <c r="E66" s="499">
        <f t="shared" si="4"/>
        <v>0</v>
      </c>
      <c r="F66" s="500"/>
      <c r="G66" s="490"/>
      <c r="H66" s="506">
        <f>IF('Project Information'!$C$14="No",0,IF('Project Information'!$H$9=0,0,IF(D66="",(C66)*('Project Information'!$M$11),D66)))</f>
        <v>0</v>
      </c>
      <c r="J66" s="706"/>
      <c r="K66" s="707"/>
    </row>
    <row r="67" spans="1:11" ht="13.5" thickBot="1" x14ac:dyDescent="0.25">
      <c r="A67" s="945" t="s">
        <v>10</v>
      </c>
      <c r="B67" s="946"/>
      <c r="C67" s="507">
        <f>SUM(C54:C66)</f>
        <v>0</v>
      </c>
      <c r="D67" s="507">
        <f>IFERROR(H67,0)</f>
        <v>0</v>
      </c>
      <c r="E67" s="508">
        <f t="shared" si="4"/>
        <v>0</v>
      </c>
      <c r="F67" s="500"/>
      <c r="G67" s="490"/>
      <c r="H67" s="497">
        <f t="shared" ref="H67" si="5">SUM(H54:H66)</f>
        <v>0</v>
      </c>
      <c r="J67" s="706"/>
      <c r="K67" s="707"/>
    </row>
    <row r="68" spans="1:11" x14ac:dyDescent="0.2">
      <c r="A68" s="519"/>
      <c r="B68" s="519"/>
      <c r="C68" s="520"/>
      <c r="D68" s="520"/>
      <c r="E68" s="500"/>
      <c r="F68" s="500"/>
      <c r="G68" s="490"/>
      <c r="H68" s="490"/>
      <c r="J68" s="706"/>
      <c r="K68" s="707"/>
    </row>
    <row r="69" spans="1:11" ht="13.5" thickBot="1" x14ac:dyDescent="0.25">
      <c r="A69" s="963" t="s">
        <v>25</v>
      </c>
      <c r="B69" s="963"/>
      <c r="E69" s="516"/>
      <c r="F69" s="500"/>
      <c r="G69" s="490"/>
      <c r="H69" s="490"/>
      <c r="J69" s="706"/>
      <c r="K69" s="707"/>
    </row>
    <row r="70" spans="1:11" x14ac:dyDescent="0.2">
      <c r="A70" s="943" t="s">
        <v>26</v>
      </c>
      <c r="B70" s="944"/>
      <c r="C70" s="498"/>
      <c r="D70" s="498"/>
      <c r="E70" s="499">
        <f t="shared" ref="E70:E79" si="6">C70-H70</f>
        <v>0</v>
      </c>
      <c r="F70" s="500"/>
      <c r="G70" s="490"/>
      <c r="H70" s="501">
        <f>IF('Project Information'!$C$14="No",0,IF('Project Information'!$H$9=0,0,IF(D70="",(C70)*('Project Information'!$M$11),D70)))</f>
        <v>0</v>
      </c>
      <c r="J70" s="708">
        <f>C79</f>
        <v>0</v>
      </c>
      <c r="K70" s="707" t="s">
        <v>1312</v>
      </c>
    </row>
    <row r="71" spans="1:11" x14ac:dyDescent="0.2">
      <c r="A71" s="943" t="s">
        <v>590</v>
      </c>
      <c r="B71" s="944"/>
      <c r="C71" s="498"/>
      <c r="D71" s="498"/>
      <c r="E71" s="499">
        <f t="shared" si="6"/>
        <v>0</v>
      </c>
      <c r="F71" s="500"/>
      <c r="G71" s="490"/>
      <c r="H71" s="502">
        <f>IF('Project Information'!$C$14="No",0,IF('Project Information'!$H$9=0,0,IF(D71="",(C71)*('Project Information'!$M$11),D71)))</f>
        <v>0</v>
      </c>
      <c r="J71" s="706"/>
      <c r="K71" s="707"/>
    </row>
    <row r="72" spans="1:11" x14ac:dyDescent="0.2">
      <c r="A72" s="943" t="s">
        <v>19</v>
      </c>
      <c r="B72" s="944"/>
      <c r="C72" s="498"/>
      <c r="D72" s="498"/>
      <c r="E72" s="499">
        <f t="shared" si="6"/>
        <v>0</v>
      </c>
      <c r="F72" s="500"/>
      <c r="G72" s="490"/>
      <c r="H72" s="502">
        <f>IF('Project Information'!$C$14="No",0,IF('Project Information'!$H$9=0,0,IF(D72="",(C72)*('Project Information'!$M$11),D72)))</f>
        <v>0</v>
      </c>
      <c r="J72" s="706"/>
      <c r="K72" s="707"/>
    </row>
    <row r="73" spans="1:11" x14ac:dyDescent="0.2">
      <c r="A73" s="943" t="s">
        <v>20</v>
      </c>
      <c r="B73" s="944"/>
      <c r="C73" s="498"/>
      <c r="D73" s="498"/>
      <c r="E73" s="499">
        <f t="shared" si="6"/>
        <v>0</v>
      </c>
      <c r="F73" s="500"/>
      <c r="G73" s="490"/>
      <c r="H73" s="502">
        <f>IF('Project Information'!$C$14="No",0,IF('Project Information'!$H$9=0,0,IF(D73="",(C73)*('Project Information'!$M$11),D73)))</f>
        <v>0</v>
      </c>
      <c r="J73" s="706"/>
      <c r="K73" s="707"/>
    </row>
    <row r="74" spans="1:11" x14ac:dyDescent="0.2">
      <c r="A74" s="943" t="s">
        <v>1443</v>
      </c>
      <c r="B74" s="944"/>
      <c r="C74" s="498"/>
      <c r="D74" s="498"/>
      <c r="E74" s="499">
        <f t="shared" si="6"/>
        <v>0</v>
      </c>
      <c r="F74" s="500"/>
      <c r="G74" s="490"/>
      <c r="H74" s="502">
        <f>IF('Project Information'!$C$14="No",0,IF('Project Information'!$H$9=0,0,IF(D74="",(C74)*('Project Information'!$M$11),D74)))</f>
        <v>0</v>
      </c>
      <c r="J74" s="706"/>
      <c r="K74" s="707"/>
    </row>
    <row r="75" spans="1:11" x14ac:dyDescent="0.2">
      <c r="A75" s="943" t="s">
        <v>27</v>
      </c>
      <c r="B75" s="944"/>
      <c r="C75" s="498"/>
      <c r="D75" s="498"/>
      <c r="E75" s="499">
        <f t="shared" si="6"/>
        <v>0</v>
      </c>
      <c r="F75" s="500"/>
      <c r="G75" s="490"/>
      <c r="H75" s="502">
        <f>IF('Project Information'!$C$14="No",0,IF('Project Information'!$H$9=0,0,IF(D75="",(C75)*('Project Information'!$M$11),D75)))</f>
        <v>0</v>
      </c>
      <c r="J75" s="706"/>
      <c r="K75" s="707"/>
    </row>
    <row r="76" spans="1:11" x14ac:dyDescent="0.2">
      <c r="A76" s="943" t="s">
        <v>23</v>
      </c>
      <c r="B76" s="944"/>
      <c r="C76" s="498"/>
      <c r="D76" s="498"/>
      <c r="E76" s="499">
        <f t="shared" si="6"/>
        <v>0</v>
      </c>
      <c r="F76" s="500"/>
      <c r="G76" s="490"/>
      <c r="H76" s="502">
        <f>IF('Project Information'!$C$14="No",0,IF('Project Information'!$H$9=0,0,IF(D76="",(C76)*('Project Information'!$M$11),D76)))</f>
        <v>0</v>
      </c>
      <c r="J76" s="706"/>
      <c r="K76" s="707"/>
    </row>
    <row r="77" spans="1:11" x14ac:dyDescent="0.2">
      <c r="A77" s="943" t="s">
        <v>28</v>
      </c>
      <c r="B77" s="944"/>
      <c r="C77" s="498"/>
      <c r="D77" s="498"/>
      <c r="E77" s="499">
        <f t="shared" si="6"/>
        <v>0</v>
      </c>
      <c r="F77" s="500"/>
      <c r="G77" s="490"/>
      <c r="H77" s="502">
        <f>IF('Project Information'!$C$14="No",0,IF('Project Information'!$H$9=0,0,IF(D77="",(C77)*('Project Information'!$M$11),D77)))</f>
        <v>0</v>
      </c>
      <c r="J77" s="706"/>
      <c r="K77" s="707"/>
    </row>
    <row r="78" spans="1:11" ht="13.5" thickBot="1" x14ac:dyDescent="0.25">
      <c r="A78" s="503" t="s">
        <v>651</v>
      </c>
      <c r="B78" s="504"/>
      <c r="C78" s="505"/>
      <c r="D78" s="505"/>
      <c r="E78" s="499">
        <f t="shared" si="6"/>
        <v>0</v>
      </c>
      <c r="F78" s="500"/>
      <c r="G78" s="490"/>
      <c r="H78" s="506">
        <f>IF('Project Information'!$C$14="No",0,IF('Project Information'!$H$9=0,0,IF(D78="",(C78)*('Project Information'!$M$11),D78)))</f>
        <v>0</v>
      </c>
      <c r="J78" s="706"/>
      <c r="K78" s="707"/>
    </row>
    <row r="79" spans="1:11" ht="13.5" thickBot="1" x14ac:dyDescent="0.25">
      <c r="A79" s="945" t="s">
        <v>10</v>
      </c>
      <c r="B79" s="946"/>
      <c r="C79" s="507">
        <f>SUM(C70:C78)</f>
        <v>0</v>
      </c>
      <c r="D79" s="507">
        <f>IFERROR(H79,0)</f>
        <v>0</v>
      </c>
      <c r="E79" s="508">
        <f t="shared" si="6"/>
        <v>0</v>
      </c>
      <c r="F79" s="500"/>
      <c r="G79" s="490"/>
      <c r="H79" s="497">
        <f>SUM(H70:H78)</f>
        <v>0</v>
      </c>
      <c r="J79" s="706"/>
      <c r="K79" s="707"/>
    </row>
    <row r="80" spans="1:11" x14ac:dyDescent="0.2">
      <c r="B80" s="493"/>
      <c r="E80" s="516"/>
      <c r="F80" s="500"/>
      <c r="G80" s="490"/>
      <c r="H80" s="490"/>
      <c r="J80" s="706"/>
      <c r="K80" s="707"/>
    </row>
    <row r="81" spans="1:11" ht="13.5" thickBot="1" x14ac:dyDescent="0.25">
      <c r="A81" s="963" t="s">
        <v>29</v>
      </c>
      <c r="B81" s="963"/>
      <c r="E81" s="516"/>
      <c r="F81" s="500"/>
      <c r="G81" s="490"/>
      <c r="H81" s="490"/>
      <c r="J81" s="706"/>
      <c r="K81" s="707"/>
    </row>
    <row r="82" spans="1:11" x14ac:dyDescent="0.2">
      <c r="A82" s="943" t="s">
        <v>574</v>
      </c>
      <c r="B82" s="944"/>
      <c r="C82" s="498"/>
      <c r="D82" s="498"/>
      <c r="E82" s="499">
        <f t="shared" ref="E82:E92" si="7">C82-H82</f>
        <v>0</v>
      </c>
      <c r="F82" s="500"/>
      <c r="G82" s="490"/>
      <c r="H82" s="501">
        <f>IF('Project Information'!$C$14="No",0,IF('Project Information'!$H$9=0,0,IF(D82="",(C82)*('Project Information'!$M$11),D82)))</f>
        <v>0</v>
      </c>
      <c r="J82" s="706"/>
      <c r="K82" s="707"/>
    </row>
    <row r="83" spans="1:11" x14ac:dyDescent="0.2">
      <c r="A83" s="943" t="s">
        <v>30</v>
      </c>
      <c r="B83" s="944"/>
      <c r="C83" s="498"/>
      <c r="D83" s="498"/>
      <c r="E83" s="499">
        <f t="shared" si="7"/>
        <v>0</v>
      </c>
      <c r="F83" s="500"/>
      <c r="G83" s="490"/>
      <c r="H83" s="502">
        <f>IF('Project Information'!$C$14="No",0,IF('Project Information'!$H$9=0,0,IF(D83="",(C83)*('Project Information'!$M$11),D83)))</f>
        <v>0</v>
      </c>
      <c r="J83" s="708">
        <f>C92+C100</f>
        <v>0</v>
      </c>
      <c r="K83" s="707" t="s">
        <v>1314</v>
      </c>
    </row>
    <row r="84" spans="1:11" x14ac:dyDescent="0.2">
      <c r="A84" s="943" t="s">
        <v>31</v>
      </c>
      <c r="B84" s="944"/>
      <c r="C84" s="498"/>
      <c r="D84" s="498"/>
      <c r="E84" s="499">
        <f t="shared" si="7"/>
        <v>0</v>
      </c>
      <c r="F84" s="500"/>
      <c r="G84" s="490"/>
      <c r="H84" s="502">
        <f>IF('Project Information'!$C$14="No",0,IF('Project Information'!$H$9=0,0,IF(D84="",(C84)*('Project Information'!$M$11),D84)))</f>
        <v>0</v>
      </c>
      <c r="J84" s="706"/>
      <c r="K84" s="707"/>
    </row>
    <row r="85" spans="1:11" x14ac:dyDescent="0.2">
      <c r="A85" s="943" t="s">
        <v>32</v>
      </c>
      <c r="B85" s="944"/>
      <c r="C85" s="498"/>
      <c r="D85" s="498"/>
      <c r="E85" s="499">
        <f t="shared" si="7"/>
        <v>0</v>
      </c>
      <c r="F85" s="500"/>
      <c r="G85" s="490"/>
      <c r="H85" s="502">
        <f>IF('Project Information'!$C$14="No",0,IF('Project Information'!$H$9=0,0,IF(D85="",(C85)*('Project Information'!$M$11),D85)))</f>
        <v>0</v>
      </c>
      <c r="J85" s="706"/>
      <c r="K85" s="707"/>
    </row>
    <row r="86" spans="1:11" x14ac:dyDescent="0.2">
      <c r="A86" s="943" t="s">
        <v>33</v>
      </c>
      <c r="B86" s="944"/>
      <c r="C86" s="498"/>
      <c r="D86" s="498"/>
      <c r="E86" s="499">
        <f t="shared" si="7"/>
        <v>0</v>
      </c>
      <c r="F86" s="500"/>
      <c r="G86" s="490"/>
      <c r="H86" s="502">
        <f>IF('Project Information'!$C$14="No",0,IF('Project Information'!$H$9=0,0,IF(D86="",(C86)*('Project Information'!$M$11),D86)))</f>
        <v>0</v>
      </c>
      <c r="J86" s="706"/>
      <c r="K86" s="707"/>
    </row>
    <row r="87" spans="1:11" x14ac:dyDescent="0.2">
      <c r="A87" s="943" t="s">
        <v>34</v>
      </c>
      <c r="B87" s="944"/>
      <c r="C87" s="498"/>
      <c r="D87" s="498"/>
      <c r="E87" s="499">
        <f t="shared" si="7"/>
        <v>0</v>
      </c>
      <c r="F87" s="500"/>
      <c r="G87" s="490"/>
      <c r="H87" s="502">
        <f>IF('Project Information'!$C$14="No",0,IF('Project Information'!$H$9=0,0,IF(D87="",(C87)*('Project Information'!$M$11),D87)))</f>
        <v>0</v>
      </c>
      <c r="J87" s="706"/>
      <c r="K87" s="707"/>
    </row>
    <row r="88" spans="1:11" x14ac:dyDescent="0.2">
      <c r="A88" s="943" t="s">
        <v>67</v>
      </c>
      <c r="B88" s="944"/>
      <c r="C88" s="498"/>
      <c r="D88" s="498"/>
      <c r="E88" s="499">
        <f t="shared" si="7"/>
        <v>0</v>
      </c>
      <c r="F88" s="500"/>
      <c r="G88" s="490"/>
      <c r="H88" s="502">
        <f>IF('Project Information'!$C$14="No",0,IF('Project Information'!$H$9=0,0,IF(D88="",(C88)*('Project Information'!$M$11),D88)))</f>
        <v>0</v>
      </c>
      <c r="J88" s="706"/>
      <c r="K88" s="707"/>
    </row>
    <row r="89" spans="1:11" x14ac:dyDescent="0.2">
      <c r="A89" s="943" t="s">
        <v>9</v>
      </c>
      <c r="B89" s="944"/>
      <c r="C89" s="498"/>
      <c r="D89" s="498"/>
      <c r="E89" s="499">
        <f t="shared" si="7"/>
        <v>0</v>
      </c>
      <c r="F89" s="500"/>
      <c r="G89" s="490"/>
      <c r="H89" s="502">
        <f>IF('Project Information'!$C$14="No",0,IF('Project Information'!$H$9=0,0,IF(D89="",(C89)*('Project Information'!$M$11),D89)))</f>
        <v>0</v>
      </c>
      <c r="J89" s="706"/>
      <c r="K89" s="707"/>
    </row>
    <row r="90" spans="1:11" x14ac:dyDescent="0.2">
      <c r="A90" s="943" t="s">
        <v>1444</v>
      </c>
      <c r="B90" s="950"/>
      <c r="C90" s="498"/>
      <c r="D90" s="498"/>
      <c r="E90" s="499">
        <f t="shared" si="7"/>
        <v>0</v>
      </c>
      <c r="F90" s="500"/>
      <c r="G90" s="490"/>
      <c r="H90" s="502">
        <f>IF('Project Information'!$C$14="No",0,IF('Project Information'!$H$9=0,0,IF(D90="",(C90)*('Project Information'!$M$11),D90)))</f>
        <v>0</v>
      </c>
      <c r="J90" s="706"/>
      <c r="K90" s="707"/>
    </row>
    <row r="91" spans="1:11" ht="13.5" thickBot="1" x14ac:dyDescent="0.25">
      <c r="A91" s="503" t="s">
        <v>651</v>
      </c>
      <c r="B91" s="504"/>
      <c r="C91" s="505"/>
      <c r="D91" s="505"/>
      <c r="E91" s="499">
        <f t="shared" si="7"/>
        <v>0</v>
      </c>
      <c r="F91" s="500"/>
      <c r="G91" s="490"/>
      <c r="H91" s="506">
        <f>IF('Project Information'!$C$14="No",0,IF('Project Information'!$H$9=0,0,IF(D91="",(C91)*('Project Information'!$M$11),D91)))</f>
        <v>0</v>
      </c>
      <c r="J91" s="706"/>
      <c r="K91" s="707"/>
    </row>
    <row r="92" spans="1:11" ht="13.5" thickBot="1" x14ac:dyDescent="0.25">
      <c r="A92" s="945" t="s">
        <v>10</v>
      </c>
      <c r="B92" s="946"/>
      <c r="C92" s="507">
        <f>SUM(C82:C91)</f>
        <v>0</v>
      </c>
      <c r="D92" s="507">
        <f>IFERROR(H92,0)</f>
        <v>0</v>
      </c>
      <c r="E92" s="508">
        <f t="shared" si="7"/>
        <v>0</v>
      </c>
      <c r="F92" s="500"/>
      <c r="G92" s="490"/>
      <c r="H92" s="497">
        <f>SUM(H82:H91)</f>
        <v>0</v>
      </c>
      <c r="J92" s="706"/>
      <c r="K92" s="707"/>
    </row>
    <row r="93" spans="1:11" x14ac:dyDescent="0.2">
      <c r="B93" s="493"/>
      <c r="C93" s="522"/>
      <c r="D93" s="522"/>
      <c r="E93" s="516"/>
      <c r="F93" s="500"/>
      <c r="G93" s="490"/>
      <c r="H93" s="490"/>
      <c r="J93" s="706"/>
      <c r="K93" s="707"/>
    </row>
    <row r="94" spans="1:11" ht="13.5" thickBot="1" x14ac:dyDescent="0.25">
      <c r="A94" s="963" t="s">
        <v>35</v>
      </c>
      <c r="B94" s="963"/>
      <c r="E94" s="516"/>
      <c r="F94" s="500"/>
      <c r="G94" s="490"/>
      <c r="H94" s="490"/>
      <c r="J94" s="706"/>
      <c r="K94" s="707"/>
    </row>
    <row r="95" spans="1:11" x14ac:dyDescent="0.2">
      <c r="A95" s="943" t="s">
        <v>36</v>
      </c>
      <c r="B95" s="944"/>
      <c r="C95" s="498"/>
      <c r="D95" s="498"/>
      <c r="E95" s="499">
        <f t="shared" ref="E95:E100" si="8">C95-H95</f>
        <v>0</v>
      </c>
      <c r="F95" s="500"/>
      <c r="G95" s="490"/>
      <c r="H95" s="501">
        <f>IF('Project Information'!$C$14="No",0,IF('Project Information'!$H$9=0,0,IF(D95="",(C95)*('Project Information'!$M$11),D95)))</f>
        <v>0</v>
      </c>
      <c r="J95" s="706"/>
      <c r="K95" s="707"/>
    </row>
    <row r="96" spans="1:11" x14ac:dyDescent="0.2">
      <c r="A96" s="943" t="s">
        <v>37</v>
      </c>
      <c r="B96" s="944"/>
      <c r="C96" s="498"/>
      <c r="D96" s="498"/>
      <c r="E96" s="499">
        <f t="shared" si="8"/>
        <v>0</v>
      </c>
      <c r="F96" s="500"/>
      <c r="G96" s="490"/>
      <c r="H96" s="502">
        <f>IF('Project Information'!$C$14="No",0,IF('Project Information'!$H$9=0,0,IF(D96="",(C96)*('Project Information'!$M$11),D96)))</f>
        <v>0</v>
      </c>
      <c r="J96" s="706"/>
      <c r="K96" s="707"/>
    </row>
    <row r="97" spans="1:11" x14ac:dyDescent="0.2">
      <c r="A97" s="943" t="s">
        <v>24</v>
      </c>
      <c r="B97" s="944"/>
      <c r="C97" s="498"/>
      <c r="D97" s="498"/>
      <c r="E97" s="499">
        <f t="shared" si="8"/>
        <v>0</v>
      </c>
      <c r="F97" s="500"/>
      <c r="G97" s="490"/>
      <c r="H97" s="502">
        <f>IF('Project Information'!$C$14="No",0,IF('Project Information'!$H$9=0,0,IF(D97="",(C97)*('Project Information'!$M$11),D97)))</f>
        <v>0</v>
      </c>
      <c r="J97" s="706"/>
      <c r="K97" s="707"/>
    </row>
    <row r="98" spans="1:11" x14ac:dyDescent="0.2">
      <c r="A98" s="943" t="s">
        <v>38</v>
      </c>
      <c r="B98" s="944"/>
      <c r="C98" s="498"/>
      <c r="D98" s="498"/>
      <c r="E98" s="499">
        <f t="shared" si="8"/>
        <v>0</v>
      </c>
      <c r="F98" s="500"/>
      <c r="G98" s="490"/>
      <c r="H98" s="502">
        <f>IF('Project Information'!$C$14="No",0,IF('Project Information'!$H$9=0,0,IF(D98="",(C98)*('Project Information'!$M$11),D98)))</f>
        <v>0</v>
      </c>
      <c r="J98" s="706"/>
      <c r="K98" s="707"/>
    </row>
    <row r="99" spans="1:11" ht="13.5" thickBot="1" x14ac:dyDescent="0.25">
      <c r="A99" s="503" t="s">
        <v>651</v>
      </c>
      <c r="B99" s="504"/>
      <c r="C99" s="505"/>
      <c r="D99" s="505"/>
      <c r="E99" s="499">
        <f t="shared" si="8"/>
        <v>0</v>
      </c>
      <c r="F99" s="500"/>
      <c r="G99" s="490"/>
      <c r="H99" s="506">
        <f>IF('Project Information'!$C$14="No",0,IF('Project Information'!$H$9=0,0,IF(D99="",(C99)*('Project Information'!$M$11),D99)))</f>
        <v>0</v>
      </c>
      <c r="J99" s="706"/>
      <c r="K99" s="707"/>
    </row>
    <row r="100" spans="1:11" ht="13.5" thickBot="1" x14ac:dyDescent="0.25">
      <c r="A100" s="945" t="s">
        <v>10</v>
      </c>
      <c r="B100" s="946"/>
      <c r="C100" s="507">
        <f>SUM(C95:C99)</f>
        <v>0</v>
      </c>
      <c r="D100" s="507">
        <f>IFERROR(H100,0)</f>
        <v>0</v>
      </c>
      <c r="E100" s="508">
        <f t="shared" si="8"/>
        <v>0</v>
      </c>
      <c r="F100" s="500"/>
      <c r="G100" s="490"/>
      <c r="H100" s="509">
        <f>SUM(H95:H99)</f>
        <v>0</v>
      </c>
      <c r="J100" s="706"/>
      <c r="K100" s="707"/>
    </row>
    <row r="101" spans="1:11" x14ac:dyDescent="0.2">
      <c r="B101" s="493"/>
      <c r="E101" s="516"/>
      <c r="F101" s="500"/>
      <c r="G101" s="490"/>
      <c r="H101" s="490"/>
      <c r="J101" s="706"/>
      <c r="K101" s="707"/>
    </row>
    <row r="102" spans="1:11" ht="13.5" thickBot="1" x14ac:dyDescent="0.25">
      <c r="A102" s="963" t="s">
        <v>39</v>
      </c>
      <c r="B102" s="963"/>
      <c r="E102" s="516"/>
      <c r="F102" s="500"/>
      <c r="G102" s="490"/>
      <c r="H102" s="490"/>
      <c r="J102" s="706"/>
      <c r="K102" s="707"/>
    </row>
    <row r="103" spans="1:11" x14ac:dyDescent="0.2">
      <c r="A103" s="943" t="s">
        <v>39</v>
      </c>
      <c r="B103" s="944"/>
      <c r="C103" s="498"/>
      <c r="D103" s="498"/>
      <c r="E103" s="499">
        <f>C103-H103</f>
        <v>0</v>
      </c>
      <c r="F103" s="500"/>
      <c r="G103" s="490"/>
      <c r="H103" s="501">
        <f>IF('Project Information'!$C$14="No",0,IF('Project Information'!C27="No",0,IF('Project Information'!$H$9=0,0,IF(D103="",(C103)*('Project Information'!$M$11),D103))))</f>
        <v>0</v>
      </c>
      <c r="J103" s="706"/>
      <c r="K103" s="707"/>
    </row>
    <row r="104" spans="1:11" x14ac:dyDescent="0.2">
      <c r="A104" s="523" t="s">
        <v>775</v>
      </c>
      <c r="B104" s="524"/>
      <c r="C104" s="498"/>
      <c r="D104" s="505"/>
      <c r="E104" s="499">
        <f>C104-H104</f>
        <v>0</v>
      </c>
      <c r="F104" s="500"/>
      <c r="G104" s="490"/>
      <c r="H104" s="502">
        <f>IF('Project Information'!$C$14="No",0,IF('Project Information'!C27="No",0,IF('Project Information'!$H$9=0,0,IF(D104="",(C104)*('Project Information'!$M$11),D104))))</f>
        <v>0</v>
      </c>
      <c r="J104" s="706"/>
      <c r="K104" s="707"/>
    </row>
    <row r="105" spans="1:11" ht="13.5" thickBot="1" x14ac:dyDescent="0.25">
      <c r="A105" s="503" t="s">
        <v>651</v>
      </c>
      <c r="B105" s="504"/>
      <c r="C105" s="498"/>
      <c r="D105" s="505"/>
      <c r="E105" s="499">
        <f>C105-H105</f>
        <v>0</v>
      </c>
      <c r="F105" s="500"/>
      <c r="G105" s="490"/>
      <c r="H105" s="506">
        <f>IF('Project Information'!$C$14="No",0,IF('Project Information'!C27="No",0,IF('Project Information'!$H$9=0,0,IF(D105="",(C105)*('Project Information'!$M$11),D105))))</f>
        <v>0</v>
      </c>
      <c r="J105" s="706"/>
      <c r="K105" s="707"/>
    </row>
    <row r="106" spans="1:11" ht="13.5" thickBot="1" x14ac:dyDescent="0.25">
      <c r="A106" s="945" t="s">
        <v>10</v>
      </c>
      <c r="B106" s="946"/>
      <c r="C106" s="507">
        <f>SUM(C103:C105)</f>
        <v>0</v>
      </c>
      <c r="D106" s="507">
        <f>IFERROR(H106,0)</f>
        <v>0</v>
      </c>
      <c r="E106" s="508">
        <f>C106-H106</f>
        <v>0</v>
      </c>
      <c r="F106" s="500"/>
      <c r="G106" s="490"/>
      <c r="H106" s="509">
        <f t="shared" ref="H106" si="9">SUM(H103:H105)</f>
        <v>0</v>
      </c>
      <c r="J106" s="708" t="e">
        <f>(C106+C46)/(C117-(C106+C46+C6+C115))</f>
        <v>#DIV/0!</v>
      </c>
      <c r="K106" s="707" t="s">
        <v>1344</v>
      </c>
    </row>
    <row r="107" spans="1:11" x14ac:dyDescent="0.2">
      <c r="B107" s="493"/>
      <c r="E107" s="516"/>
      <c r="F107" s="500"/>
      <c r="G107" s="490"/>
      <c r="H107" s="490"/>
      <c r="J107" s="708">
        <f>C106+C46</f>
        <v>0</v>
      </c>
      <c r="K107" s="707" t="s">
        <v>1345</v>
      </c>
    </row>
    <row r="108" spans="1:11" ht="13.5" thickBot="1" x14ac:dyDescent="0.25">
      <c r="A108" s="963" t="s">
        <v>40</v>
      </c>
      <c r="B108" s="963"/>
      <c r="E108" s="516"/>
      <c r="F108" s="500"/>
      <c r="G108" s="490"/>
      <c r="H108" s="490"/>
      <c r="J108" s="706"/>
      <c r="K108" s="707"/>
    </row>
    <row r="109" spans="1:11" ht="12.75" customHeight="1" x14ac:dyDescent="0.2">
      <c r="A109" s="943" t="s">
        <v>1445</v>
      </c>
      <c r="B109" s="944"/>
      <c r="C109" s="498"/>
      <c r="D109" s="498"/>
      <c r="E109" s="499">
        <f t="shared" ref="E109:E115" si="10">C109-H109</f>
        <v>0</v>
      </c>
      <c r="F109" s="500"/>
      <c r="G109" s="490"/>
      <c r="H109" s="501">
        <f>IF('Project Information'!$C$14="No",0,IF('Project Information'!$H$9=0,0,IF(D109="",(C109)*('Project Information'!$M$11),D109)))</f>
        <v>0</v>
      </c>
      <c r="J109" s="706"/>
      <c r="K109" s="707"/>
    </row>
    <row r="110" spans="1:11" x14ac:dyDescent="0.2">
      <c r="A110" s="943" t="s">
        <v>41</v>
      </c>
      <c r="B110" s="944"/>
      <c r="C110" s="498"/>
      <c r="D110" s="498"/>
      <c r="E110" s="499">
        <f t="shared" si="10"/>
        <v>0</v>
      </c>
      <c r="F110" s="500"/>
      <c r="G110" s="490"/>
      <c r="H110" s="502">
        <f>IF('Project Information'!$C$14="No",0,IF('Project Information'!$H$9=0,0,IF(D110="",(C110)*('Project Information'!$M$11),D110)))</f>
        <v>0</v>
      </c>
      <c r="J110" s="706"/>
      <c r="K110" s="707"/>
    </row>
    <row r="111" spans="1:11" x14ac:dyDescent="0.2">
      <c r="A111" s="943" t="s">
        <v>42</v>
      </c>
      <c r="B111" s="944"/>
      <c r="C111" s="498"/>
      <c r="D111" s="498"/>
      <c r="E111" s="499">
        <f t="shared" si="10"/>
        <v>0</v>
      </c>
      <c r="F111" s="500"/>
      <c r="G111" s="490"/>
      <c r="H111" s="502">
        <f>IF('Project Information'!$C$14="No",0,IF('Project Information'!$H$9=0,0,IF(D111="",(C111)*('Project Information'!$M$11),D111)))</f>
        <v>0</v>
      </c>
      <c r="J111" s="706"/>
      <c r="K111" s="707"/>
    </row>
    <row r="112" spans="1:11" x14ac:dyDescent="0.2">
      <c r="A112" s="943" t="s">
        <v>1446</v>
      </c>
      <c r="B112" s="944"/>
      <c r="C112" s="498"/>
      <c r="D112" s="498"/>
      <c r="E112" s="499">
        <f t="shared" si="10"/>
        <v>0</v>
      </c>
      <c r="F112" s="500"/>
      <c r="G112" s="490"/>
      <c r="H112" s="502">
        <f>IF('Project Information'!$C$14="No",0,IF('Project Information'!$H$9=0,0,IF(D112="",(C112)*('Project Information'!$M$11),D112)))</f>
        <v>0</v>
      </c>
      <c r="J112" s="706"/>
      <c r="K112" s="707"/>
    </row>
    <row r="113" spans="1:11" x14ac:dyDescent="0.2">
      <c r="A113" s="943" t="s">
        <v>43</v>
      </c>
      <c r="B113" s="944"/>
      <c r="C113" s="498"/>
      <c r="D113" s="525"/>
      <c r="E113" s="499">
        <f t="shared" si="10"/>
        <v>0</v>
      </c>
      <c r="F113" s="500"/>
      <c r="G113" s="490"/>
      <c r="H113" s="502">
        <f>IF('Project Information'!$C$14="No",0,IF('Project Information'!$H$9=0,0,IF(D113="",(C113)*('Project Information'!$M$11),D113)))</f>
        <v>0</v>
      </c>
      <c r="J113" s="706"/>
      <c r="K113" s="707"/>
    </row>
    <row r="114" spans="1:11" ht="13.5" thickBot="1" x14ac:dyDescent="0.25">
      <c r="A114" s="951" t="s">
        <v>1462</v>
      </c>
      <c r="B114" s="952"/>
      <c r="C114" s="498"/>
      <c r="D114" s="526"/>
      <c r="E114" s="499">
        <f t="shared" si="10"/>
        <v>0</v>
      </c>
      <c r="F114" s="500"/>
      <c r="G114" s="490"/>
      <c r="H114" s="506">
        <f>IF('Project Information'!$C$14="No",0,IF('Project Information'!$H$9=0,0,IF(D114="",(C114)*('Project Information'!$M$11),D114)))</f>
        <v>0</v>
      </c>
      <c r="J114" s="706"/>
      <c r="K114" s="707"/>
    </row>
    <row r="115" spans="1:11" ht="13.5" thickBot="1" x14ac:dyDescent="0.25">
      <c r="A115" s="945" t="s">
        <v>10</v>
      </c>
      <c r="B115" s="946"/>
      <c r="C115" s="507">
        <f>SUM(C109:C114)</f>
        <v>0</v>
      </c>
      <c r="D115" s="507">
        <f>IFERROR(H115,0)</f>
        <v>0</v>
      </c>
      <c r="E115" s="508">
        <f t="shared" si="10"/>
        <v>0</v>
      </c>
      <c r="F115" s="500"/>
      <c r="G115" s="490"/>
      <c r="H115" s="509">
        <f>SUM(H110:H114)</f>
        <v>0</v>
      </c>
      <c r="J115" s="706"/>
      <c r="K115" s="707"/>
    </row>
    <row r="116" spans="1:11" ht="13.5" thickBot="1" x14ac:dyDescent="0.25">
      <c r="D116" s="527"/>
      <c r="E116" s="516"/>
      <c r="F116" s="500"/>
      <c r="G116" s="490"/>
      <c r="H116" s="490"/>
      <c r="J116" s="706"/>
      <c r="K116" s="707"/>
    </row>
    <row r="117" spans="1:11" ht="13.5" thickBot="1" x14ac:dyDescent="0.25">
      <c r="A117" s="528" t="s">
        <v>656</v>
      </c>
      <c r="B117" s="529"/>
      <c r="C117" s="530">
        <f>ROUND(SUM(C115+C106+C100+C92+C79+C67+C51+C40+C25+C12),0)</f>
        <v>0</v>
      </c>
      <c r="D117" s="531"/>
      <c r="E117" s="531"/>
      <c r="F117" s="500"/>
      <c r="G117" s="490"/>
      <c r="H117" s="521">
        <f>H12+H25+H40+H51+H67+H92+H106+H79+H100+H115</f>
        <v>0</v>
      </c>
      <c r="J117" s="706"/>
      <c r="K117" s="707"/>
    </row>
    <row r="118" spans="1:11" ht="13.5" thickBot="1" x14ac:dyDescent="0.25">
      <c r="A118" s="532"/>
      <c r="B118" s="533"/>
      <c r="C118" s="520"/>
      <c r="D118" s="520"/>
      <c r="E118" s="520"/>
      <c r="F118" s="520"/>
      <c r="G118" s="490"/>
      <c r="H118" s="490"/>
      <c r="J118" s="706"/>
      <c r="K118" s="707"/>
    </row>
    <row r="119" spans="1:11" ht="13.5" thickBot="1" x14ac:dyDescent="0.25">
      <c r="A119" s="528" t="s">
        <v>655</v>
      </c>
      <c r="B119" s="529"/>
      <c r="C119" s="534"/>
      <c r="D119" s="530">
        <f>ROUND(SUM(D115+D106+D100+D92+D79+D67+D51+D40+D25+D12),0)</f>
        <v>0</v>
      </c>
      <c r="E119" s="534"/>
      <c r="F119" s="496"/>
      <c r="G119" s="490"/>
      <c r="H119" s="490"/>
      <c r="J119" s="708">
        <f>C117-C6-C106-C115-D119</f>
        <v>0</v>
      </c>
      <c r="K119" s="707" t="s">
        <v>1456</v>
      </c>
    </row>
    <row r="120" spans="1:11" ht="13.5" thickBot="1" x14ac:dyDescent="0.25">
      <c r="A120" s="535"/>
      <c r="B120" s="536"/>
      <c r="E120" s="490"/>
      <c r="F120" s="496"/>
      <c r="G120" s="490"/>
      <c r="H120" s="490"/>
      <c r="J120" s="706"/>
      <c r="K120" s="707"/>
    </row>
    <row r="121" spans="1:11" ht="13.5" thickBot="1" x14ac:dyDescent="0.25">
      <c r="A121" s="945" t="s">
        <v>728</v>
      </c>
      <c r="B121" s="949"/>
      <c r="C121" s="534"/>
      <c r="D121" s="534"/>
      <c r="E121" s="530">
        <f>C117-D119</f>
        <v>0</v>
      </c>
      <c r="F121" s="496"/>
      <c r="G121" s="490"/>
      <c r="H121" s="490"/>
      <c r="J121" s="709" t="e">
        <f>C117/'Rental Project Worksheet'!D60</f>
        <v>#DIV/0!</v>
      </c>
      <c r="K121" s="711" t="s">
        <v>1590</v>
      </c>
    </row>
    <row r="122" spans="1:11" ht="13.5" thickBot="1" x14ac:dyDescent="0.25">
      <c r="A122" s="535"/>
      <c r="B122" s="537"/>
      <c r="J122" s="712" t="e">
        <f>C117/'Project Information'!H9</f>
        <v>#DIV/0!</v>
      </c>
      <c r="K122" s="713" t="s">
        <v>1591</v>
      </c>
    </row>
    <row r="123" spans="1:11" x14ac:dyDescent="0.2">
      <c r="A123" s="535"/>
      <c r="B123" s="537"/>
    </row>
    <row r="124" spans="1:11" ht="13.5" thickBot="1" x14ac:dyDescent="0.25">
      <c r="A124" s="539" t="s">
        <v>1511</v>
      </c>
      <c r="B124" s="539"/>
      <c r="C124" s="539"/>
      <c r="D124" s="539"/>
      <c r="E124" s="540"/>
      <c r="F124" s="539"/>
      <c r="G124" s="539"/>
    </row>
    <row r="125" spans="1:11" x14ac:dyDescent="0.2">
      <c r="A125" s="954"/>
      <c r="B125" s="955"/>
      <c r="C125" s="955"/>
      <c r="D125" s="955"/>
      <c r="E125" s="955"/>
      <c r="F125" s="956"/>
      <c r="G125" s="490"/>
      <c r="H125" s="491"/>
    </row>
    <row r="126" spans="1:11" x14ac:dyDescent="0.2">
      <c r="A126" s="957"/>
      <c r="B126" s="958"/>
      <c r="C126" s="958"/>
      <c r="D126" s="958"/>
      <c r="E126" s="958"/>
      <c r="F126" s="959"/>
      <c r="G126" s="490"/>
      <c r="H126" s="491"/>
    </row>
    <row r="127" spans="1:11" x14ac:dyDescent="0.2">
      <c r="A127" s="957"/>
      <c r="B127" s="958"/>
      <c r="C127" s="958"/>
      <c r="D127" s="958"/>
      <c r="E127" s="958"/>
      <c r="F127" s="959"/>
      <c r="G127" s="490"/>
      <c r="H127" s="491"/>
    </row>
    <row r="128" spans="1:11" x14ac:dyDescent="0.2">
      <c r="A128" s="957"/>
      <c r="B128" s="958"/>
      <c r="C128" s="958"/>
      <c r="D128" s="958"/>
      <c r="E128" s="958"/>
      <c r="F128" s="959"/>
      <c r="G128" s="490"/>
      <c r="H128" s="491"/>
    </row>
    <row r="129" spans="1:8" ht="13.5" thickBot="1" x14ac:dyDescent="0.25">
      <c r="A129" s="960"/>
      <c r="B129" s="961"/>
      <c r="C129" s="961"/>
      <c r="D129" s="961"/>
      <c r="E129" s="961"/>
      <c r="F129" s="962"/>
      <c r="G129" s="490"/>
      <c r="H129" s="491"/>
    </row>
    <row r="130" spans="1:8" x14ac:dyDescent="0.2">
      <c r="A130" s="541" t="str">
        <f>IF('Project Information'!C14="","",'Project Information'!C14)</f>
        <v/>
      </c>
    </row>
    <row r="131" spans="1:8" x14ac:dyDescent="0.2">
      <c r="A131" s="541" t="str">
        <f>IF('Project Information'!C23="","",'Project Information'!C23)</f>
        <v/>
      </c>
    </row>
    <row r="132" spans="1:8" x14ac:dyDescent="0.2">
      <c r="A132" s="542" t="str">
        <f>IF('Project Information'!B9="","",'Project Information'!B9)</f>
        <v/>
      </c>
    </row>
  </sheetData>
  <sheetProtection algorithmName="SHA-512" hashValue="ShzaUnybQQoNx8x5L+yg6z5TKEMiRWmpCyMQclVuRo+lLmV/uYqbpdkq8Sh/CiRkAfB/RykXt4EBDylTvqckOg==" saltValue="am54jwQk5gKfHmYbvEOxKQ==" spinCount="100000" sheet="1" selectLockedCells="1"/>
  <customSheetViews>
    <customSheetView guid="{695F2D09-97F7-4A62-ACE9-B0C2EFD91E95}" showGridLines="0" hiddenColumns="1">
      <pane ySplit="10" topLeftCell="A11" activePane="bottomLeft" state="frozen"/>
      <selection pane="bottomLeft" activeCell="C12" sqref="C12"/>
      <rowBreaks count="1" manualBreakCount="1">
        <brk id="74" max="6" man="1"/>
      </rowBreaks>
      <pageMargins left="0.7" right="0.7" top="0.75" bottom="0.75" header="0.3" footer="0.3"/>
      <printOptions horizontalCentered="1" verticalCentered="1"/>
      <pageSetup scale="72" fitToHeight="0" orientation="portrait" blackAndWhite="1" r:id="rId1"/>
      <headerFooter>
        <oddHeader>&amp;C&amp;"Arial,Bold"&amp;11FHLBank Topeka - Affordable Housing Program 
&amp;A&amp;R&amp;D</oddHeader>
        <oddFooter>&amp;LRevised 3/17/15</oddFooter>
      </headerFooter>
    </customSheetView>
  </customSheetViews>
  <mergeCells count="98">
    <mergeCell ref="A28:B28"/>
    <mergeCell ref="A40:B40"/>
    <mergeCell ref="A16:B16"/>
    <mergeCell ref="A15:B15"/>
    <mergeCell ref="A62:B62"/>
    <mergeCell ref="A61:B61"/>
    <mergeCell ref="A18:B18"/>
    <mergeCell ref="A17:B17"/>
    <mergeCell ref="A19:B19"/>
    <mergeCell ref="A20:B20"/>
    <mergeCell ref="A36:B36"/>
    <mergeCell ref="A35:B35"/>
    <mergeCell ref="A26:E26"/>
    <mergeCell ref="A29:B29"/>
    <mergeCell ref="A21:B21"/>
    <mergeCell ref="A31:B31"/>
    <mergeCell ref="A30:B30"/>
    <mergeCell ref="A60:B60"/>
    <mergeCell ref="J4:K4"/>
    <mergeCell ref="A112:B112"/>
    <mergeCell ref="A111:B111"/>
    <mergeCell ref="A110:B110"/>
    <mergeCell ref="A109:B109"/>
    <mergeCell ref="A106:B106"/>
    <mergeCell ref="A103:B103"/>
    <mergeCell ref="A95:B95"/>
    <mergeCell ref="A77:B77"/>
    <mergeCell ref="A76:B76"/>
    <mergeCell ref="A75:B75"/>
    <mergeCell ref="A98:B98"/>
    <mergeCell ref="A100:B100"/>
    <mergeCell ref="A6:B6"/>
    <mergeCell ref="A12:B12"/>
    <mergeCell ref="A25:B25"/>
    <mergeCell ref="A125:F129"/>
    <mergeCell ref="A7:B7"/>
    <mergeCell ref="A5:B5"/>
    <mergeCell ref="A14:B14"/>
    <mergeCell ref="A27:B27"/>
    <mergeCell ref="A42:B42"/>
    <mergeCell ref="A53:B53"/>
    <mergeCell ref="A69:B69"/>
    <mergeCell ref="A81:B81"/>
    <mergeCell ref="A94:B94"/>
    <mergeCell ref="A102:B102"/>
    <mergeCell ref="A108:B108"/>
    <mergeCell ref="A55:B55"/>
    <mergeCell ref="A54:B54"/>
    <mergeCell ref="A82:B82"/>
    <mergeCell ref="A79:B79"/>
    <mergeCell ref="A2:H2"/>
    <mergeCell ref="A1:H1"/>
    <mergeCell ref="A49:B49"/>
    <mergeCell ref="A48:B48"/>
    <mergeCell ref="A47:B47"/>
    <mergeCell ref="A46:B46"/>
    <mergeCell ref="A45:B45"/>
    <mergeCell ref="A44:B44"/>
    <mergeCell ref="A43:B43"/>
    <mergeCell ref="A23:B23"/>
    <mergeCell ref="A22:B22"/>
    <mergeCell ref="A10:B10"/>
    <mergeCell ref="A9:B9"/>
    <mergeCell ref="A8:B8"/>
    <mergeCell ref="A32:B32"/>
    <mergeCell ref="A3:H3"/>
    <mergeCell ref="A83:B83"/>
    <mergeCell ref="A74:B74"/>
    <mergeCell ref="A121:B121"/>
    <mergeCell ref="A90:B90"/>
    <mergeCell ref="A87:B87"/>
    <mergeCell ref="A86:B86"/>
    <mergeCell ref="A114:B114"/>
    <mergeCell ref="A97:B97"/>
    <mergeCell ref="A96:B96"/>
    <mergeCell ref="A84:B84"/>
    <mergeCell ref="A92:B92"/>
    <mergeCell ref="A85:B85"/>
    <mergeCell ref="A88:B88"/>
    <mergeCell ref="A89:B89"/>
    <mergeCell ref="A115:B115"/>
    <mergeCell ref="A113:B113"/>
    <mergeCell ref="A73:B73"/>
    <mergeCell ref="A34:B34"/>
    <mergeCell ref="A33:B33"/>
    <mergeCell ref="A51:B51"/>
    <mergeCell ref="A56:B56"/>
    <mergeCell ref="A58:B58"/>
    <mergeCell ref="A57:B57"/>
    <mergeCell ref="A65:B65"/>
    <mergeCell ref="A67:B67"/>
    <mergeCell ref="A72:B72"/>
    <mergeCell ref="A71:B71"/>
    <mergeCell ref="A70:B70"/>
    <mergeCell ref="A64:B64"/>
    <mergeCell ref="A63:B63"/>
    <mergeCell ref="A37:B37"/>
    <mergeCell ref="A59:B59"/>
  </mergeCells>
  <phoneticPr fontId="12" type="noConversion"/>
  <conditionalFormatting sqref="B11">
    <cfRule type="expression" dxfId="85" priority="5">
      <formula>AND(C11&gt;0,B11="")</formula>
    </cfRule>
  </conditionalFormatting>
  <conditionalFormatting sqref="B24">
    <cfRule type="expression" dxfId="84" priority="4">
      <formula>AND(C24&gt;0,B24="")</formula>
    </cfRule>
  </conditionalFormatting>
  <conditionalFormatting sqref="B38:B39">
    <cfRule type="expression" dxfId="83" priority="1">
      <formula>AND(C38&gt;0,B38="")</formula>
    </cfRule>
  </conditionalFormatting>
  <conditionalFormatting sqref="B50">
    <cfRule type="expression" dxfId="82" priority="15">
      <formula>AND(C50&gt;0,B50="")</formula>
    </cfRule>
  </conditionalFormatting>
  <conditionalFormatting sqref="B66">
    <cfRule type="expression" dxfId="81" priority="14">
      <formula>AND(C66&gt;0,B66="")</formula>
    </cfRule>
  </conditionalFormatting>
  <conditionalFormatting sqref="B78">
    <cfRule type="expression" dxfId="80" priority="13">
      <formula>AND(C78&gt;0,B78="")</formula>
    </cfRule>
  </conditionalFormatting>
  <conditionalFormatting sqref="B91">
    <cfRule type="expression" dxfId="79" priority="12">
      <formula>AND(C91&gt;0,B91="")</formula>
    </cfRule>
  </conditionalFormatting>
  <conditionalFormatting sqref="B99">
    <cfRule type="expression" dxfId="78" priority="11">
      <formula>AND(C99&gt;0,B99="")</formula>
    </cfRule>
  </conditionalFormatting>
  <conditionalFormatting sqref="B105">
    <cfRule type="expression" dxfId="77" priority="10">
      <formula>AND(C105&gt;0,B105="")</formula>
    </cfRule>
  </conditionalFormatting>
  <conditionalFormatting sqref="C25">
    <cfRule type="expression" dxfId="76" priority="6">
      <formula>AND(A132="New Construction",C25=0)</formula>
    </cfRule>
  </conditionalFormatting>
  <conditionalFormatting sqref="D6:D11 D15:D24 D28:D39 D43:D50 D54:D66 D70:D78 D82:D91 D95:D99 D103:D105 D109:D114">
    <cfRule type="expression" dxfId="75" priority="20">
      <formula>OR($A$130="No",$A$130="")</formula>
    </cfRule>
  </conditionalFormatting>
  <conditionalFormatting sqref="E4:E25 E27:E116">
    <cfRule type="expression" dxfId="74" priority="231">
      <formula>#REF!="Other"</formula>
    </cfRule>
  </conditionalFormatting>
  <conditionalFormatting sqref="E25">
    <cfRule type="expression" dxfId="73" priority="7">
      <formula>#REF!="Other"</formula>
    </cfRule>
    <cfRule type="containsText" dxfId="72" priority="8" operator="containsText" text="N/A">
      <formula>NOT(ISERROR(SEARCH("N/A",E25)))</formula>
    </cfRule>
  </conditionalFormatting>
  <conditionalFormatting sqref="E6:F25 F26 E27:F116 F117">
    <cfRule type="containsText" dxfId="71" priority="40" operator="containsText" text="N/A">
      <formula>NOT(ISERROR(SEARCH("N/A",E6)))</formula>
    </cfRule>
  </conditionalFormatting>
  <dataValidations count="5">
    <dataValidation type="decimal" operator="greaterThan" allowBlank="1" showInputMessage="1" showErrorMessage="1" sqref="C28:C39 C15:C24 C6:C11 C95:C99 C70:C78 C43:C50 C109:C114 C54:C66 C82:C91 C103:C105" xr:uid="{00000000-0002-0000-0400-000000000000}">
      <formula1>0</formula1>
    </dataValidation>
    <dataValidation allowBlank="1" showInputMessage="1" showErrorMessage="1" promptTitle="Warning" prompt="Don't delete &quot;Other&quot; when listing costs over $999" sqref="A99 A105 A114 A24 A91 A11 A50 A66 A78 A38:A39" xr:uid="{00000000-0002-0000-0400-000001000000}"/>
    <dataValidation allowBlank="1" showInputMessage="1" showErrorMessage="1" promptTitle="Explanation" prompt="Enter an explanation for any values that may need more detail. More detail is needed if a cost is lower or higher than normal, or if it is outside the maximum limits designated by FHLB or other funding source the project may be using (i.e. LIHTC)." sqref="A125" xr:uid="{00000000-0002-0000-0400-000002000000}"/>
    <dataValidation type="whole" operator="greaterThanOrEqual" allowBlank="1" showInputMessage="1" showErrorMessage="1" sqref="D6:D11" xr:uid="{00000000-0002-0000-0400-000004000000}">
      <formula1>0</formula1>
    </dataValidation>
    <dataValidation type="decimal" operator="greaterThanOrEqual" allowBlank="1" showInputMessage="1" showErrorMessage="1" sqref="D15:D24 D103:D105 D43:D50 D70:D78 D95:D99 D109:D114 D54:D66 D82:D91 D28:D39" xr:uid="{00000000-0002-0000-0400-000005000000}">
      <formula1>0</formula1>
    </dataValidation>
  </dataValidations>
  <printOptions horizontalCentered="1" verticalCentered="1"/>
  <pageMargins left="0.7" right="0.7" top="0.75" bottom="0.75" header="0.3" footer="0.3"/>
  <pageSetup scale="72" fitToHeight="0" orientation="portrait" r:id="rId2"/>
  <headerFooter>
    <oddHeader>&amp;C&amp;"Arial,Bold"&amp;11FHLBank Topeka - Affordable Housing Program 
&amp;A&amp;R&amp;D</oddHeader>
  </headerFooter>
  <rowBreaks count="1" manualBreakCount="1">
    <brk id="68" max="6" man="1"/>
  </row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15">
    <tabColor rgb="FF92D050"/>
  </sheetPr>
  <dimension ref="A1:AS53"/>
  <sheetViews>
    <sheetView showGridLines="0" zoomScaleNormal="100" workbookViewId="0">
      <selection activeCell="D8" sqref="D8"/>
    </sheetView>
  </sheetViews>
  <sheetFormatPr defaultColWidth="7.85546875" defaultRowHeight="12.75" x14ac:dyDescent="0.2"/>
  <cols>
    <col min="1" max="1" width="16" style="20" customWidth="1"/>
    <col min="2" max="2" width="19.42578125" style="20" customWidth="1"/>
    <col min="3" max="3" width="12" style="20" customWidth="1"/>
    <col min="4" max="4" width="15.140625" style="20" customWidth="1"/>
    <col min="5" max="5" width="11" style="20" bestFit="1" customWidth="1"/>
    <col min="6" max="6" width="13.28515625" style="20" customWidth="1"/>
    <col min="7" max="7" width="11.42578125" style="20" customWidth="1"/>
    <col min="8" max="8" width="17.140625" style="20" customWidth="1"/>
    <col min="9" max="9" width="18.42578125" style="20" customWidth="1"/>
    <col min="10" max="10" width="21.7109375" style="20" customWidth="1"/>
    <col min="11" max="11" width="13.7109375" style="112" customWidth="1"/>
    <col min="12" max="12" width="14.28515625" style="20" customWidth="1"/>
    <col min="13" max="13" width="20.5703125" style="20" customWidth="1"/>
    <col min="14" max="14" width="13.42578125" style="20" customWidth="1"/>
    <col min="15" max="15" width="14.7109375" style="20" customWidth="1"/>
    <col min="16" max="17" width="13.28515625" style="20" hidden="1" customWidth="1"/>
    <col min="18" max="18" width="16.5703125" style="20" hidden="1" customWidth="1"/>
    <col min="19" max="19" width="10.7109375" style="316" hidden="1" customWidth="1"/>
    <col min="20" max="23" width="10.7109375" style="20" hidden="1" customWidth="1"/>
    <col min="24" max="24" width="8.5703125" style="20" hidden="1" customWidth="1"/>
    <col min="25" max="38" width="7.85546875" style="20" hidden="1" customWidth="1"/>
    <col min="39" max="39" width="11" style="20" hidden="1" customWidth="1"/>
    <col min="40" max="40" width="7.85546875" style="20" hidden="1" customWidth="1"/>
    <col min="41" max="41" width="9.140625" style="20" hidden="1" customWidth="1"/>
    <col min="42" max="42" width="9.7109375" style="20" hidden="1" customWidth="1"/>
    <col min="43" max="43" width="8.5703125" style="20" hidden="1" customWidth="1"/>
    <col min="44" max="44" width="0" style="20" hidden="1" customWidth="1"/>
    <col min="45" max="45" width="9" style="20" bestFit="1" customWidth="1"/>
    <col min="46" max="16384" width="7.85546875" style="20"/>
  </cols>
  <sheetData>
    <row r="1" spans="1:45" x14ac:dyDescent="0.2">
      <c r="A1" s="248" t="s">
        <v>1756</v>
      </c>
      <c r="B1" s="801" t="str">
        <f>IF(Date="","",Date)</f>
        <v/>
      </c>
      <c r="C1" s="984" t="s">
        <v>184</v>
      </c>
      <c r="D1" s="984"/>
      <c r="E1" s="984"/>
      <c r="F1" s="984"/>
      <c r="G1" s="984"/>
      <c r="H1" s="984"/>
      <c r="I1" s="984"/>
      <c r="J1" s="984"/>
      <c r="K1" s="984"/>
      <c r="L1" s="984"/>
      <c r="M1" s="984"/>
      <c r="N1" s="984"/>
      <c r="O1" s="984"/>
      <c r="P1" s="248"/>
      <c r="Q1" s="103"/>
    </row>
    <row r="2" spans="1:45" x14ac:dyDescent="0.2">
      <c r="A2" s="248"/>
      <c r="B2" s="248"/>
      <c r="C2" s="984" t="s">
        <v>186</v>
      </c>
      <c r="D2" s="984"/>
      <c r="E2" s="984"/>
      <c r="F2" s="984"/>
      <c r="G2" s="984"/>
      <c r="H2" s="984"/>
      <c r="I2" s="984"/>
      <c r="J2" s="984"/>
      <c r="K2" s="984"/>
      <c r="L2" s="984"/>
      <c r="M2" s="984"/>
      <c r="N2" s="984"/>
      <c r="O2" s="984"/>
      <c r="P2" s="248"/>
      <c r="Q2" s="103"/>
    </row>
    <row r="3" spans="1:45" ht="52.5" customHeight="1" x14ac:dyDescent="0.2">
      <c r="A3" s="983" t="s">
        <v>1755</v>
      </c>
      <c r="B3" s="983"/>
      <c r="C3" s="983"/>
      <c r="D3" s="983"/>
      <c r="E3" s="983"/>
      <c r="F3" s="983"/>
      <c r="G3" s="983"/>
      <c r="H3" s="983"/>
      <c r="I3" s="983"/>
      <c r="J3" s="983"/>
      <c r="K3" s="983"/>
      <c r="L3" s="983"/>
      <c r="M3" s="983"/>
      <c r="N3" s="983"/>
      <c r="O3" s="983"/>
      <c r="P3" s="104"/>
      <c r="Q3" s="104"/>
    </row>
    <row r="4" spans="1:45" x14ac:dyDescent="0.2">
      <c r="A4" s="982" t="str">
        <f>IF('Project Information'!C14="Yes","Enter Non-Residential Permanent Financing separately from Residential. Total Non-Residential sources must equal Total Non-Residential Uses.","")</f>
        <v/>
      </c>
      <c r="B4" s="982"/>
      <c r="C4" s="982"/>
      <c r="D4" s="982"/>
      <c r="E4" s="982"/>
      <c r="F4" s="982"/>
      <c r="H4" s="103"/>
      <c r="I4" s="103"/>
      <c r="J4" s="103"/>
      <c r="K4" s="103"/>
      <c r="L4" s="103"/>
      <c r="M4" s="103"/>
      <c r="N4" s="103"/>
      <c r="O4" s="103"/>
      <c r="P4" s="103"/>
      <c r="Q4" s="103"/>
    </row>
    <row r="5" spans="1:45" x14ac:dyDescent="0.2">
      <c r="A5" s="982"/>
      <c r="B5" s="982"/>
      <c r="C5" s="982"/>
      <c r="D5" s="982"/>
      <c r="E5" s="982"/>
      <c r="F5" s="982"/>
      <c r="G5" s="105" t="str">
        <f>IF('Project Information'!B6="","",'Project Information'!B6)</f>
        <v/>
      </c>
      <c r="H5" s="105"/>
      <c r="I5" s="105"/>
      <c r="J5" s="106"/>
      <c r="K5" s="107"/>
    </row>
    <row r="6" spans="1:45" ht="13.5" thickBot="1" x14ac:dyDescent="0.25">
      <c r="A6" s="108">
        <f>'Rental Project Worksheet'!H62</f>
        <v>0</v>
      </c>
      <c r="B6" s="109">
        <f>'Development Budget Worksheet'!E121</f>
        <v>0</v>
      </c>
      <c r="D6" s="110" t="e">
        <f>IF(OR((D8/A6)&gt;75000,(D9/A6)&gt;75000),"Subsidy Cannot Exceed $75,000 per Unit","")</f>
        <v>#DIV/0!</v>
      </c>
      <c r="F6" s="105"/>
      <c r="J6" s="111">
        <f>'Project Information'!C19</f>
        <v>0</v>
      </c>
      <c r="M6" s="113"/>
      <c r="N6" s="113"/>
      <c r="P6" s="113">
        <f>'Project Information'!E5</f>
        <v>0</v>
      </c>
      <c r="Q6" s="113"/>
      <c r="R6" s="20" t="s">
        <v>44</v>
      </c>
      <c r="T6" s="20" t="s">
        <v>47</v>
      </c>
    </row>
    <row r="7" spans="1:45" ht="51.75" thickBot="1" x14ac:dyDescent="0.25">
      <c r="A7" s="976" t="s">
        <v>658</v>
      </c>
      <c r="B7" s="977"/>
      <c r="C7" s="66" t="s">
        <v>148</v>
      </c>
      <c r="D7" s="66" t="s">
        <v>45</v>
      </c>
      <c r="E7" s="66" t="s">
        <v>46</v>
      </c>
      <c r="F7" s="66" t="s">
        <v>141</v>
      </c>
      <c r="G7" s="66" t="s">
        <v>149</v>
      </c>
      <c r="H7" s="66" t="s">
        <v>730</v>
      </c>
      <c r="I7" s="66" t="s">
        <v>753</v>
      </c>
      <c r="J7" s="66" t="s">
        <v>759</v>
      </c>
      <c r="K7" s="114" t="s">
        <v>142</v>
      </c>
      <c r="L7" s="978" t="s">
        <v>566</v>
      </c>
      <c r="M7" s="979"/>
      <c r="N7" s="66" t="s">
        <v>197</v>
      </c>
      <c r="O7" s="114" t="s">
        <v>1419</v>
      </c>
      <c r="P7" s="115" t="s">
        <v>1290</v>
      </c>
      <c r="S7" s="317" t="s">
        <v>1482</v>
      </c>
      <c r="T7" s="116" t="s">
        <v>1291</v>
      </c>
      <c r="U7" s="116" t="s">
        <v>1296</v>
      </c>
      <c r="V7" s="116" t="s">
        <v>1295</v>
      </c>
      <c r="AL7" s="116" t="s">
        <v>731</v>
      </c>
      <c r="AM7" s="116" t="s">
        <v>1369</v>
      </c>
      <c r="AN7" s="116" t="s">
        <v>1315</v>
      </c>
      <c r="AO7" s="116" t="s">
        <v>1372</v>
      </c>
      <c r="AP7" s="20" t="s">
        <v>1384</v>
      </c>
    </row>
    <row r="8" spans="1:45" ht="17.25" customHeight="1" thickBot="1" x14ac:dyDescent="0.25">
      <c r="A8" s="117" t="s">
        <v>48</v>
      </c>
      <c r="B8" s="118"/>
      <c r="C8" s="119"/>
      <c r="D8" s="120"/>
      <c r="E8" s="121"/>
      <c r="F8" s="122"/>
      <c r="G8" s="123"/>
      <c r="H8" s="124"/>
      <c r="I8" s="125"/>
      <c r="J8" s="126"/>
      <c r="K8" s="127" t="str">
        <f t="shared" ref="K8:K22" si="0">IF(ISNUMBER(J8),J8*12,IF(J8="N/A","",""))</f>
        <v/>
      </c>
      <c r="L8" s="980" t="e">
        <f>IF(ABS(O8-100%)&gt;2.5%,"Error, 'PMT' Does Not Equal 'Terms' ","")</f>
        <v>#NUM!</v>
      </c>
      <c r="M8" s="981"/>
      <c r="N8" s="128" t="e">
        <f>ROUND((PMT(E8/12,G8,D8)*-1),2)</f>
        <v>#NUM!</v>
      </c>
      <c r="O8" s="129" t="e">
        <f>N8/J8</f>
        <v>#NUM!</v>
      </c>
      <c r="P8" s="316" t="str">
        <f t="shared" ref="P8:P9" si="1">IF(OR(I8="deferred",I8="Cash Flow Payments"),"N",IF(OR(I8="P&amp;I Payments",I8="Interest Only"),"Y",""))</f>
        <v/>
      </c>
      <c r="Q8" s="20" t="s">
        <v>576</v>
      </c>
      <c r="R8" s="130" t="s">
        <v>1288</v>
      </c>
      <c r="T8" s="112" t="s">
        <v>1481</v>
      </c>
      <c r="U8" s="131">
        <f t="shared" ref="U8:U22" si="2">F8/12</f>
        <v>0</v>
      </c>
      <c r="V8" s="131">
        <f t="shared" ref="V8:V22" si="3">G8/12</f>
        <v>0</v>
      </c>
      <c r="W8" s="644">
        <v>1</v>
      </c>
      <c r="X8" s="644">
        <v>2</v>
      </c>
      <c r="Y8" s="644">
        <v>3</v>
      </c>
      <c r="Z8" s="644">
        <v>4</v>
      </c>
      <c r="AA8" s="644">
        <v>5</v>
      </c>
      <c r="AB8" s="644">
        <v>6</v>
      </c>
      <c r="AC8" s="644">
        <v>7</v>
      </c>
      <c r="AD8" s="644">
        <v>8</v>
      </c>
      <c r="AE8" s="644">
        <v>9</v>
      </c>
      <c r="AF8" s="644">
        <v>10</v>
      </c>
      <c r="AG8" s="644">
        <v>11</v>
      </c>
      <c r="AH8" s="644">
        <v>12</v>
      </c>
      <c r="AI8" s="644">
        <v>13</v>
      </c>
      <c r="AJ8" s="644">
        <v>14</v>
      </c>
      <c r="AK8" s="644">
        <v>15</v>
      </c>
      <c r="AO8" s="20" t="str">
        <f t="shared" ref="AO8:AO21" si="4">IF(P8="Y",K8,"")</f>
        <v/>
      </c>
    </row>
    <row r="9" spans="1:45" ht="17.25" customHeight="1" thickTop="1" x14ac:dyDescent="0.2">
      <c r="A9" s="133" t="s">
        <v>49</v>
      </c>
      <c r="B9" s="134"/>
      <c r="C9" s="135" t="s">
        <v>72</v>
      </c>
      <c r="D9" s="136"/>
      <c r="E9" s="137"/>
      <c r="F9" s="138"/>
      <c r="G9" s="139"/>
      <c r="H9" s="140"/>
      <c r="I9" s="141"/>
      <c r="J9" s="142"/>
      <c r="K9" s="143" t="str">
        <f>IF(ISNUMBER(J9),J9*12,IF(J9="N/A","",""))</f>
        <v/>
      </c>
      <c r="L9" s="985"/>
      <c r="M9" s="986"/>
      <c r="N9" s="144"/>
      <c r="O9" s="145"/>
      <c r="P9" s="316" t="str">
        <f t="shared" si="1"/>
        <v/>
      </c>
      <c r="Q9" s="20" t="s">
        <v>72</v>
      </c>
      <c r="R9" s="146" t="s">
        <v>193</v>
      </c>
      <c r="S9" s="316">
        <v>1</v>
      </c>
      <c r="T9" s="112" t="s">
        <v>1481</v>
      </c>
      <c r="U9" s="131">
        <f t="shared" si="2"/>
        <v>0</v>
      </c>
      <c r="V9" s="131">
        <f t="shared" si="3"/>
        <v>0</v>
      </c>
      <c r="W9" s="132"/>
      <c r="X9" s="132"/>
      <c r="Y9" s="132"/>
      <c r="Z9" s="132"/>
      <c r="AA9" s="132"/>
      <c r="AB9" s="132"/>
      <c r="AC9" s="132"/>
      <c r="AD9" s="132"/>
      <c r="AE9" s="132"/>
      <c r="AF9" s="132"/>
      <c r="AG9" s="132"/>
      <c r="AH9" s="132"/>
      <c r="AI9" s="132"/>
      <c r="AJ9" s="132"/>
      <c r="AK9" s="132"/>
      <c r="AL9" s="147">
        <f t="shared" ref="AL9:AL22" si="5">IF(AND(D10&gt;0,C10="Loan"),H10/D10,0)</f>
        <v>0</v>
      </c>
      <c r="AM9" s="148">
        <f t="shared" ref="AM9:AM21" si="6">H10</f>
        <v>0</v>
      </c>
      <c r="AO9" s="20" t="str">
        <f t="shared" si="4"/>
        <v/>
      </c>
    </row>
    <row r="10" spans="1:45" ht="17.25" customHeight="1" x14ac:dyDescent="0.25">
      <c r="A10" s="149" t="s">
        <v>1414</v>
      </c>
      <c r="B10" s="150"/>
      <c r="C10" s="135" t="s">
        <v>758</v>
      </c>
      <c r="D10" s="136"/>
      <c r="E10" s="151"/>
      <c r="F10" s="152"/>
      <c r="G10" s="152"/>
      <c r="H10" s="153"/>
      <c r="I10" s="154"/>
      <c r="J10" s="155"/>
      <c r="K10" s="143" t="str">
        <f t="shared" si="0"/>
        <v/>
      </c>
      <c r="L10" s="985" t="e">
        <f t="shared" ref="L10" si="7">IF(ABS(O10-100%)&gt;2.5%,"Error, 'PMT' Does Not Equal 'Terms' ","")</f>
        <v>#NUM!</v>
      </c>
      <c r="M10" s="986"/>
      <c r="N10" s="144" t="e">
        <f>ROUND(IF(I10="Interest Only",(D10*E10)/12,PMT(E10/12,G10,D10)*-1),2)</f>
        <v>#NUM!</v>
      </c>
      <c r="O10" s="156" t="e">
        <f t="shared" ref="O10:O22" si="8">N10/J10</f>
        <v>#NUM!</v>
      </c>
      <c r="P10" s="112" t="str">
        <f>IF(OR(I10="deferred",I10="Cash Flow Payments"),"N",IF(OR(I10="P&amp;I Payments",I10="Interest Only"),"Y",""))</f>
        <v/>
      </c>
      <c r="Q10" s="20" t="s">
        <v>192</v>
      </c>
      <c r="R10" s="157" t="s">
        <v>194</v>
      </c>
      <c r="S10" s="316">
        <v>2</v>
      </c>
      <c r="T10" s="112" t="str">
        <f t="shared" ref="T10:T22" si="9">IF(D10&gt;0,"Y","N")</f>
        <v>N</v>
      </c>
      <c r="U10" s="131">
        <f t="shared" si="2"/>
        <v>0</v>
      </c>
      <c r="V10" s="131">
        <f t="shared" si="3"/>
        <v>0</v>
      </c>
      <c r="W10" s="132">
        <f t="shared" ref="W10:W22" si="10">IF(F10&gt;11.9,IF(OR(I10="Interest Only",I10="P&amp;I Payments"),K10,0),0)</f>
        <v>0</v>
      </c>
      <c r="X10" s="132">
        <f t="shared" ref="X10:X22" si="11">IF($F10&gt;(11.99*X$8),(IF(OR(I10="Interest Only",I10="P&amp;I Payments"),K10,0)),0)</f>
        <v>0</v>
      </c>
      <c r="Y10" s="132">
        <f t="shared" ref="Y10:Y22" si="12">IF($F10&gt;(11.99*Y$8),(IF(OR(I10="Interest Only",I10="P&amp;I Payments"),K10,0)),0)</f>
        <v>0</v>
      </c>
      <c r="Z10" s="132">
        <f t="shared" ref="Z10:Z22" si="13">IF($F10&gt;(11.99*Z$8),(IF(OR(I10="Interest Only",I10="P&amp;I Payments"),K10,0)),0)</f>
        <v>0</v>
      </c>
      <c r="AA10" s="132">
        <f t="shared" ref="AA10:AA22" si="14">IF($F10&gt;(11.99*AA$8),(IF(OR(I10="Interest Only",I10="P&amp;I Payments"),K10,0)),0)</f>
        <v>0</v>
      </c>
      <c r="AB10" s="132">
        <f t="shared" ref="AB10:AB22" si="15">IF($F10&gt;(11.99*AB$8),(IF(OR(I10="Interest Only",I10="P&amp;I Payments"),K10,0)),0)</f>
        <v>0</v>
      </c>
      <c r="AC10" s="132">
        <f t="shared" ref="AC10:AC22" si="16">IF($F10&gt;(11.99*AC$8),(IF(OR(I10="Interest Only",I10="P&amp;I Payments"),K10,0)),0)</f>
        <v>0</v>
      </c>
      <c r="AD10" s="132">
        <f t="shared" ref="AD10:AD22" si="17">IF($F10&gt;(11.99*AD$8),(IF(OR(I10="Interest Only",I10="P&amp;I Payments"),K10,0)),0)</f>
        <v>0</v>
      </c>
      <c r="AE10" s="132">
        <f t="shared" ref="AE10:AE22" si="18">IF($F10&gt;(11.99*AE$8),(IF(OR(I10="Interest Only",I10="P&amp;I Payments"),K10,0)),0)</f>
        <v>0</v>
      </c>
      <c r="AF10" s="132">
        <f t="shared" ref="AF10:AF22" si="19">IF($F10&gt;(11.99*AF$8),(IF(OR(I10="Interest Only",I10="P&amp;I Payments"),K10,0)),0)</f>
        <v>0</v>
      </c>
      <c r="AG10" s="132">
        <f t="shared" ref="AG10:AG22" si="20">IF($F10&gt;(11.99*AG$8),(IF(OR(I10="Interest Only",I10="P&amp;I Payments"),K10,0)),0)</f>
        <v>0</v>
      </c>
      <c r="AH10" s="132">
        <f t="shared" ref="AH10:AH22" si="21">IF($F10&gt;(11.99*AH$8),(IF(OR(I10="Interest Only",I10="P&amp;I Payments"),K10,0)),0)</f>
        <v>0</v>
      </c>
      <c r="AI10" s="132">
        <f t="shared" ref="AI10:AI22" si="22">IF($F10&gt;(11.99*AI$8),(IF(OR(I10="Interest Only",I10="P&amp;I Payments"),K10,0)),0)</f>
        <v>0</v>
      </c>
      <c r="AJ10" s="132">
        <f t="shared" ref="AJ10:AJ22" si="23">IF($F10&gt;(11.99*AJ$8),(IF(OR(I10="Interest Only",I10="P&amp;I Payments"),K10,0)),0)</f>
        <v>0</v>
      </c>
      <c r="AK10" s="132">
        <f t="shared" ref="AK10:AK22" si="24">IF($F10&gt;(11.99*AK$8),(IF(OR(I10="Interest Only",I10="P&amp;I Payments"),K10,0)),0)</f>
        <v>0</v>
      </c>
      <c r="AL10" s="147">
        <f t="shared" si="5"/>
        <v>0</v>
      </c>
      <c r="AM10" s="148">
        <f t="shared" si="6"/>
        <v>0</v>
      </c>
      <c r="AO10" s="20" t="str">
        <f t="shared" si="4"/>
        <v/>
      </c>
      <c r="AS10" s="732"/>
    </row>
    <row r="11" spans="1:45" ht="17.25" customHeight="1" x14ac:dyDescent="0.2">
      <c r="A11" s="158" t="s">
        <v>1289</v>
      </c>
      <c r="B11" s="159"/>
      <c r="C11" s="135" t="s">
        <v>192</v>
      </c>
      <c r="D11" s="136"/>
      <c r="E11" s="151"/>
      <c r="F11" s="152"/>
      <c r="G11" s="152"/>
      <c r="H11" s="153"/>
      <c r="I11" s="154"/>
      <c r="J11" s="155"/>
      <c r="K11" s="143" t="str">
        <f>IF(ISNUMBER(J11),J11*12,IF(J11="N/A","",""))</f>
        <v/>
      </c>
      <c r="L11" s="985" t="e">
        <f>IF(ABS(O11-100%)&gt;2.5%,"Error, 'PMT' Does Not Equal 'Terms' ","")</f>
        <v>#NUM!</v>
      </c>
      <c r="M11" s="986"/>
      <c r="N11" s="144" t="e">
        <f t="shared" ref="N11:N20" si="25">ROUND(IF(I11="Interest Only",(D11*E11)/12,PMT(E11/12,G11,D11)*-1),2)</f>
        <v>#NUM!</v>
      </c>
      <c r="O11" s="156" t="e">
        <f t="shared" si="8"/>
        <v>#NUM!</v>
      </c>
      <c r="P11" s="316" t="str">
        <f t="shared" ref="P11:P22" si="26">IF(OR(I11="deferred",I11="Cash Flow Payments"),"N",IF(OR(I11="P&amp;I Payments",I11="Interest Only"),"Y",""))</f>
        <v/>
      </c>
      <c r="Q11" s="20" t="s">
        <v>133</v>
      </c>
      <c r="R11" s="160"/>
      <c r="S11" s="316">
        <v>4</v>
      </c>
      <c r="T11" s="112" t="str">
        <f t="shared" si="9"/>
        <v>N</v>
      </c>
      <c r="U11" s="131">
        <f t="shared" si="2"/>
        <v>0</v>
      </c>
      <c r="V11" s="131">
        <f t="shared" si="3"/>
        <v>0</v>
      </c>
      <c r="W11" s="132">
        <f t="shared" si="10"/>
        <v>0</v>
      </c>
      <c r="X11" s="132">
        <f t="shared" si="11"/>
        <v>0</v>
      </c>
      <c r="Y11" s="132">
        <f t="shared" si="12"/>
        <v>0</v>
      </c>
      <c r="Z11" s="132">
        <f t="shared" si="13"/>
        <v>0</v>
      </c>
      <c r="AA11" s="132">
        <f t="shared" si="14"/>
        <v>0</v>
      </c>
      <c r="AB11" s="132">
        <f t="shared" si="15"/>
        <v>0</v>
      </c>
      <c r="AC11" s="132">
        <f t="shared" si="16"/>
        <v>0</v>
      </c>
      <c r="AD11" s="132">
        <f t="shared" si="17"/>
        <v>0</v>
      </c>
      <c r="AE11" s="132">
        <f t="shared" si="18"/>
        <v>0</v>
      </c>
      <c r="AF11" s="132">
        <f t="shared" si="19"/>
        <v>0</v>
      </c>
      <c r="AG11" s="132">
        <f t="shared" si="20"/>
        <v>0</v>
      </c>
      <c r="AH11" s="132">
        <f t="shared" si="21"/>
        <v>0</v>
      </c>
      <c r="AI11" s="132">
        <f t="shared" si="22"/>
        <v>0</v>
      </c>
      <c r="AJ11" s="132">
        <f t="shared" si="23"/>
        <v>0</v>
      </c>
      <c r="AK11" s="132">
        <f t="shared" si="24"/>
        <v>0</v>
      </c>
      <c r="AL11" s="147">
        <f t="shared" si="5"/>
        <v>0</v>
      </c>
      <c r="AM11" s="148">
        <f t="shared" si="6"/>
        <v>0</v>
      </c>
      <c r="AO11" s="20" t="str">
        <f t="shared" si="4"/>
        <v/>
      </c>
    </row>
    <row r="12" spans="1:45" ht="17.25" customHeight="1" x14ac:dyDescent="0.2">
      <c r="A12" s="158" t="s">
        <v>629</v>
      </c>
      <c r="B12" s="159"/>
      <c r="C12" s="135" t="s">
        <v>192</v>
      </c>
      <c r="D12" s="161"/>
      <c r="E12" s="151"/>
      <c r="F12" s="152"/>
      <c r="G12" s="152"/>
      <c r="H12" s="153"/>
      <c r="I12" s="154"/>
      <c r="J12" s="155"/>
      <c r="K12" s="143" t="str">
        <f t="shared" si="0"/>
        <v/>
      </c>
      <c r="L12" s="985" t="e">
        <f>IF(ABS(O12-100%)&gt;2.5%,"Error, 'PMT' Does Not Equal 'Terms' ","")</f>
        <v>#NUM!</v>
      </c>
      <c r="M12" s="986"/>
      <c r="N12" s="144" t="e">
        <f t="shared" si="25"/>
        <v>#NUM!</v>
      </c>
      <c r="O12" s="156" t="e">
        <f t="shared" si="8"/>
        <v>#NUM!</v>
      </c>
      <c r="P12" s="316" t="str">
        <f t="shared" si="26"/>
        <v/>
      </c>
      <c r="Q12" s="20" t="s">
        <v>577</v>
      </c>
      <c r="S12" s="316">
        <v>18</v>
      </c>
      <c r="T12" s="112" t="str">
        <f t="shared" si="9"/>
        <v>N</v>
      </c>
      <c r="U12" s="131">
        <f t="shared" si="2"/>
        <v>0</v>
      </c>
      <c r="V12" s="131">
        <f t="shared" si="3"/>
        <v>0</v>
      </c>
      <c r="W12" s="132">
        <f t="shared" si="10"/>
        <v>0</v>
      </c>
      <c r="X12" s="132">
        <f t="shared" si="11"/>
        <v>0</v>
      </c>
      <c r="Y12" s="132">
        <f t="shared" si="12"/>
        <v>0</v>
      </c>
      <c r="Z12" s="132">
        <f t="shared" si="13"/>
        <v>0</v>
      </c>
      <c r="AA12" s="132">
        <f t="shared" si="14"/>
        <v>0</v>
      </c>
      <c r="AB12" s="132">
        <f t="shared" si="15"/>
        <v>0</v>
      </c>
      <c r="AC12" s="132">
        <f t="shared" si="16"/>
        <v>0</v>
      </c>
      <c r="AD12" s="132">
        <f t="shared" si="17"/>
        <v>0</v>
      </c>
      <c r="AE12" s="132">
        <f t="shared" si="18"/>
        <v>0</v>
      </c>
      <c r="AF12" s="132">
        <f t="shared" si="19"/>
        <v>0</v>
      </c>
      <c r="AG12" s="132">
        <f t="shared" si="20"/>
        <v>0</v>
      </c>
      <c r="AH12" s="132">
        <f t="shared" si="21"/>
        <v>0</v>
      </c>
      <c r="AI12" s="132">
        <f t="shared" si="22"/>
        <v>0</v>
      </c>
      <c r="AJ12" s="132">
        <f t="shared" si="23"/>
        <v>0</v>
      </c>
      <c r="AK12" s="132">
        <f t="shared" si="24"/>
        <v>0</v>
      </c>
      <c r="AL12" s="147">
        <f t="shared" si="5"/>
        <v>0</v>
      </c>
      <c r="AM12" s="148">
        <f t="shared" si="6"/>
        <v>0</v>
      </c>
      <c r="AO12" s="20" t="str">
        <f t="shared" si="4"/>
        <v/>
      </c>
    </row>
    <row r="13" spans="1:45" ht="17.25" customHeight="1" x14ac:dyDescent="0.2">
      <c r="A13" s="158" t="s">
        <v>630</v>
      </c>
      <c r="B13" s="159"/>
      <c r="C13" s="135" t="s">
        <v>758</v>
      </c>
      <c r="D13" s="161"/>
      <c r="E13" s="151"/>
      <c r="F13" s="152"/>
      <c r="G13" s="162"/>
      <c r="H13" s="163"/>
      <c r="I13" s="154"/>
      <c r="J13" s="164"/>
      <c r="K13" s="143" t="str">
        <f t="shared" si="0"/>
        <v/>
      </c>
      <c r="L13" s="985" t="e">
        <f t="shared" ref="L13:L22" si="27">IF(ABS(O13-100%)&gt;2.5%,"Error, 'PMT' Does Not Equal 'Terms' ","")</f>
        <v>#NUM!</v>
      </c>
      <c r="M13" s="986"/>
      <c r="N13" s="144" t="e">
        <f t="shared" si="25"/>
        <v>#NUM!</v>
      </c>
      <c r="O13" s="156" t="e">
        <f t="shared" si="8"/>
        <v>#NUM!</v>
      </c>
      <c r="P13" s="316" t="str">
        <f t="shared" si="26"/>
        <v/>
      </c>
      <c r="S13" s="316">
        <v>19</v>
      </c>
      <c r="T13" s="112" t="str">
        <f t="shared" si="9"/>
        <v>N</v>
      </c>
      <c r="U13" s="131">
        <f t="shared" si="2"/>
        <v>0</v>
      </c>
      <c r="V13" s="131">
        <f t="shared" si="3"/>
        <v>0</v>
      </c>
      <c r="W13" s="132">
        <f t="shared" si="10"/>
        <v>0</v>
      </c>
      <c r="X13" s="132">
        <f t="shared" si="11"/>
        <v>0</v>
      </c>
      <c r="Y13" s="132">
        <f t="shared" si="12"/>
        <v>0</v>
      </c>
      <c r="Z13" s="132">
        <f t="shared" si="13"/>
        <v>0</v>
      </c>
      <c r="AA13" s="132">
        <f t="shared" si="14"/>
        <v>0</v>
      </c>
      <c r="AB13" s="132">
        <f t="shared" si="15"/>
        <v>0</v>
      </c>
      <c r="AC13" s="132">
        <f t="shared" si="16"/>
        <v>0</v>
      </c>
      <c r="AD13" s="132">
        <f t="shared" si="17"/>
        <v>0</v>
      </c>
      <c r="AE13" s="132">
        <f t="shared" si="18"/>
        <v>0</v>
      </c>
      <c r="AF13" s="132">
        <f t="shared" si="19"/>
        <v>0</v>
      </c>
      <c r="AG13" s="132">
        <f t="shared" si="20"/>
        <v>0</v>
      </c>
      <c r="AH13" s="132">
        <f t="shared" si="21"/>
        <v>0</v>
      </c>
      <c r="AI13" s="132">
        <f t="shared" si="22"/>
        <v>0</v>
      </c>
      <c r="AJ13" s="132">
        <f t="shared" si="23"/>
        <v>0</v>
      </c>
      <c r="AK13" s="132">
        <f t="shared" si="24"/>
        <v>0</v>
      </c>
      <c r="AL13" s="147">
        <f t="shared" si="5"/>
        <v>0</v>
      </c>
      <c r="AM13" s="148">
        <f t="shared" si="6"/>
        <v>0</v>
      </c>
      <c r="AO13" s="20" t="str">
        <f t="shared" si="4"/>
        <v/>
      </c>
    </row>
    <row r="14" spans="1:45" ht="17.25" customHeight="1" x14ac:dyDescent="0.2">
      <c r="A14" s="662" t="s">
        <v>1292</v>
      </c>
      <c r="B14" s="663"/>
      <c r="C14" s="165"/>
      <c r="D14" s="161"/>
      <c r="E14" s="151"/>
      <c r="F14" s="152"/>
      <c r="G14" s="162"/>
      <c r="H14" s="163"/>
      <c r="I14" s="154"/>
      <c r="J14" s="164"/>
      <c r="K14" s="143" t="str">
        <f t="shared" si="0"/>
        <v/>
      </c>
      <c r="L14" s="985" t="e">
        <f t="shared" si="27"/>
        <v>#NUM!</v>
      </c>
      <c r="M14" s="986"/>
      <c r="N14" s="144" t="e">
        <f t="shared" si="25"/>
        <v>#NUM!</v>
      </c>
      <c r="O14" s="156" t="e">
        <f t="shared" si="8"/>
        <v>#NUM!</v>
      </c>
      <c r="P14" s="316" t="str">
        <f t="shared" si="26"/>
        <v/>
      </c>
      <c r="Q14" s="20" t="str">
        <f>IF(D8&gt;0,"AHP Subsidized Advance","AHP Direct Subsidy")</f>
        <v>AHP Direct Subsidy</v>
      </c>
      <c r="R14" s="180">
        <f>D8+D9</f>
        <v>0</v>
      </c>
      <c r="S14" s="316">
        <v>8</v>
      </c>
      <c r="T14" s="112" t="str">
        <f t="shared" si="9"/>
        <v>N</v>
      </c>
      <c r="U14" s="131">
        <f t="shared" si="2"/>
        <v>0</v>
      </c>
      <c r="V14" s="131">
        <f t="shared" si="3"/>
        <v>0</v>
      </c>
      <c r="W14" s="132">
        <f t="shared" si="10"/>
        <v>0</v>
      </c>
      <c r="X14" s="132">
        <f t="shared" si="11"/>
        <v>0</v>
      </c>
      <c r="Y14" s="132">
        <f t="shared" si="12"/>
        <v>0</v>
      </c>
      <c r="Z14" s="132">
        <f t="shared" si="13"/>
        <v>0</v>
      </c>
      <c r="AA14" s="132">
        <f t="shared" si="14"/>
        <v>0</v>
      </c>
      <c r="AB14" s="132">
        <f t="shared" si="15"/>
        <v>0</v>
      </c>
      <c r="AC14" s="132">
        <f t="shared" si="16"/>
        <v>0</v>
      </c>
      <c r="AD14" s="132">
        <f t="shared" si="17"/>
        <v>0</v>
      </c>
      <c r="AE14" s="132">
        <f t="shared" si="18"/>
        <v>0</v>
      </c>
      <c r="AF14" s="132">
        <f t="shared" si="19"/>
        <v>0</v>
      </c>
      <c r="AG14" s="132">
        <f t="shared" si="20"/>
        <v>0</v>
      </c>
      <c r="AH14" s="132">
        <f t="shared" si="21"/>
        <v>0</v>
      </c>
      <c r="AI14" s="132">
        <f t="shared" si="22"/>
        <v>0</v>
      </c>
      <c r="AJ14" s="132">
        <f t="shared" si="23"/>
        <v>0</v>
      </c>
      <c r="AK14" s="132">
        <f t="shared" si="24"/>
        <v>0</v>
      </c>
      <c r="AL14" s="147">
        <f t="shared" si="5"/>
        <v>0</v>
      </c>
      <c r="AM14" s="148">
        <f t="shared" si="6"/>
        <v>0</v>
      </c>
      <c r="AO14" s="20" t="str">
        <f t="shared" si="4"/>
        <v/>
      </c>
    </row>
    <row r="15" spans="1:45" ht="17.25" customHeight="1" x14ac:dyDescent="0.2">
      <c r="A15" s="1024"/>
      <c r="B15" s="1025"/>
      <c r="C15" s="165"/>
      <c r="D15" s="161"/>
      <c r="E15" s="151"/>
      <c r="F15" s="152"/>
      <c r="G15" s="162"/>
      <c r="H15" s="163"/>
      <c r="I15" s="154"/>
      <c r="J15" s="164"/>
      <c r="K15" s="143" t="str">
        <f t="shared" si="0"/>
        <v/>
      </c>
      <c r="L15" s="985" t="e">
        <f t="shared" si="27"/>
        <v>#NUM!</v>
      </c>
      <c r="M15" s="986"/>
      <c r="N15" s="144" t="e">
        <f t="shared" si="25"/>
        <v>#NUM!</v>
      </c>
      <c r="O15" s="156" t="e">
        <f t="shared" si="8"/>
        <v>#NUM!</v>
      </c>
      <c r="P15" s="316" t="str">
        <f t="shared" si="26"/>
        <v/>
      </c>
      <c r="S15" s="316" t="str">
        <f t="shared" ref="S15:S22" si="28">IF(C15="Equity",21,IF(C15="Loan",16,IF(C15="Grant",20,"NA")))</f>
        <v>NA</v>
      </c>
      <c r="T15" s="112" t="str">
        <f t="shared" si="9"/>
        <v>N</v>
      </c>
      <c r="U15" s="131">
        <f t="shared" si="2"/>
        <v>0</v>
      </c>
      <c r="V15" s="131">
        <f t="shared" si="3"/>
        <v>0</v>
      </c>
      <c r="W15" s="132">
        <f t="shared" si="10"/>
        <v>0</v>
      </c>
      <c r="X15" s="132">
        <f t="shared" si="11"/>
        <v>0</v>
      </c>
      <c r="Y15" s="132">
        <f t="shared" si="12"/>
        <v>0</v>
      </c>
      <c r="Z15" s="132">
        <f t="shared" si="13"/>
        <v>0</v>
      </c>
      <c r="AA15" s="132">
        <f t="shared" si="14"/>
        <v>0</v>
      </c>
      <c r="AB15" s="132">
        <f t="shared" si="15"/>
        <v>0</v>
      </c>
      <c r="AC15" s="132">
        <f t="shared" si="16"/>
        <v>0</v>
      </c>
      <c r="AD15" s="132">
        <f t="shared" si="17"/>
        <v>0</v>
      </c>
      <c r="AE15" s="132">
        <f t="shared" si="18"/>
        <v>0</v>
      </c>
      <c r="AF15" s="132">
        <f t="shared" si="19"/>
        <v>0</v>
      </c>
      <c r="AG15" s="132">
        <f t="shared" si="20"/>
        <v>0</v>
      </c>
      <c r="AH15" s="132">
        <f t="shared" si="21"/>
        <v>0</v>
      </c>
      <c r="AI15" s="132">
        <f t="shared" si="22"/>
        <v>0</v>
      </c>
      <c r="AJ15" s="132">
        <f t="shared" si="23"/>
        <v>0</v>
      </c>
      <c r="AK15" s="132">
        <f t="shared" si="24"/>
        <v>0</v>
      </c>
      <c r="AL15" s="147">
        <f t="shared" si="5"/>
        <v>0</v>
      </c>
      <c r="AM15" s="148">
        <f t="shared" si="6"/>
        <v>0</v>
      </c>
      <c r="AO15" s="20" t="str">
        <f t="shared" si="4"/>
        <v/>
      </c>
    </row>
    <row r="16" spans="1:45" ht="17.25" customHeight="1" x14ac:dyDescent="0.2">
      <c r="A16" s="971"/>
      <c r="B16" s="973"/>
      <c r="C16" s="165"/>
      <c r="D16" s="166"/>
      <c r="E16" s="151"/>
      <c r="F16" s="152"/>
      <c r="G16" s="162"/>
      <c r="H16" s="163"/>
      <c r="I16" s="154"/>
      <c r="J16" s="164"/>
      <c r="K16" s="143" t="str">
        <f t="shared" si="0"/>
        <v/>
      </c>
      <c r="L16" s="985" t="e">
        <f t="shared" si="27"/>
        <v>#NUM!</v>
      </c>
      <c r="M16" s="986"/>
      <c r="N16" s="144" t="e">
        <f t="shared" si="25"/>
        <v>#NUM!</v>
      </c>
      <c r="O16" s="156" t="e">
        <f t="shared" si="8"/>
        <v>#NUM!</v>
      </c>
      <c r="P16" s="316" t="str">
        <f t="shared" si="26"/>
        <v/>
      </c>
      <c r="S16" s="316" t="str">
        <f t="shared" si="28"/>
        <v>NA</v>
      </c>
      <c r="T16" s="112" t="str">
        <f t="shared" si="9"/>
        <v>N</v>
      </c>
      <c r="U16" s="131">
        <f t="shared" si="2"/>
        <v>0</v>
      </c>
      <c r="V16" s="131">
        <f t="shared" si="3"/>
        <v>0</v>
      </c>
      <c r="W16" s="132">
        <f t="shared" si="10"/>
        <v>0</v>
      </c>
      <c r="X16" s="132">
        <f t="shared" si="11"/>
        <v>0</v>
      </c>
      <c r="Y16" s="132">
        <f t="shared" si="12"/>
        <v>0</v>
      </c>
      <c r="Z16" s="132">
        <f t="shared" si="13"/>
        <v>0</v>
      </c>
      <c r="AA16" s="132">
        <f t="shared" si="14"/>
        <v>0</v>
      </c>
      <c r="AB16" s="132">
        <f t="shared" si="15"/>
        <v>0</v>
      </c>
      <c r="AC16" s="132">
        <f t="shared" si="16"/>
        <v>0</v>
      </c>
      <c r="AD16" s="132">
        <f t="shared" si="17"/>
        <v>0</v>
      </c>
      <c r="AE16" s="132">
        <f t="shared" si="18"/>
        <v>0</v>
      </c>
      <c r="AF16" s="132">
        <f t="shared" si="19"/>
        <v>0</v>
      </c>
      <c r="AG16" s="132">
        <f t="shared" si="20"/>
        <v>0</v>
      </c>
      <c r="AH16" s="132">
        <f t="shared" si="21"/>
        <v>0</v>
      </c>
      <c r="AI16" s="132">
        <f t="shared" si="22"/>
        <v>0</v>
      </c>
      <c r="AJ16" s="132">
        <f t="shared" si="23"/>
        <v>0</v>
      </c>
      <c r="AK16" s="132">
        <f t="shared" si="24"/>
        <v>0</v>
      </c>
      <c r="AL16" s="147">
        <f t="shared" si="5"/>
        <v>0</v>
      </c>
      <c r="AM16" s="148">
        <f t="shared" si="6"/>
        <v>0</v>
      </c>
      <c r="AO16" s="20" t="str">
        <f t="shared" si="4"/>
        <v/>
      </c>
    </row>
    <row r="17" spans="1:42" ht="17.25" customHeight="1" x14ac:dyDescent="0.2">
      <c r="A17" s="971"/>
      <c r="B17" s="973"/>
      <c r="C17" s="165"/>
      <c r="D17" s="166"/>
      <c r="E17" s="151"/>
      <c r="F17" s="152"/>
      <c r="G17" s="162"/>
      <c r="H17" s="163"/>
      <c r="I17" s="154"/>
      <c r="J17" s="164"/>
      <c r="K17" s="143" t="str">
        <f t="shared" si="0"/>
        <v/>
      </c>
      <c r="L17" s="985" t="e">
        <f t="shared" si="27"/>
        <v>#NUM!</v>
      </c>
      <c r="M17" s="986"/>
      <c r="N17" s="144" t="e">
        <f t="shared" si="25"/>
        <v>#NUM!</v>
      </c>
      <c r="O17" s="156" t="e">
        <f t="shared" si="8"/>
        <v>#NUM!</v>
      </c>
      <c r="P17" s="316" t="str">
        <f t="shared" si="26"/>
        <v/>
      </c>
      <c r="S17" s="316" t="str">
        <f t="shared" si="28"/>
        <v>NA</v>
      </c>
      <c r="T17" s="112" t="str">
        <f t="shared" si="9"/>
        <v>N</v>
      </c>
      <c r="U17" s="131">
        <f t="shared" si="2"/>
        <v>0</v>
      </c>
      <c r="V17" s="131">
        <f t="shared" si="3"/>
        <v>0</v>
      </c>
      <c r="W17" s="132">
        <f t="shared" si="10"/>
        <v>0</v>
      </c>
      <c r="X17" s="132">
        <f t="shared" si="11"/>
        <v>0</v>
      </c>
      <c r="Y17" s="132">
        <f t="shared" si="12"/>
        <v>0</v>
      </c>
      <c r="Z17" s="132">
        <f t="shared" si="13"/>
        <v>0</v>
      </c>
      <c r="AA17" s="132">
        <f t="shared" si="14"/>
        <v>0</v>
      </c>
      <c r="AB17" s="132">
        <f t="shared" si="15"/>
        <v>0</v>
      </c>
      <c r="AC17" s="132">
        <f t="shared" si="16"/>
        <v>0</v>
      </c>
      <c r="AD17" s="132">
        <f t="shared" si="17"/>
        <v>0</v>
      </c>
      <c r="AE17" s="132">
        <f t="shared" si="18"/>
        <v>0</v>
      </c>
      <c r="AF17" s="132">
        <f t="shared" si="19"/>
        <v>0</v>
      </c>
      <c r="AG17" s="132">
        <f t="shared" si="20"/>
        <v>0</v>
      </c>
      <c r="AH17" s="132">
        <f t="shared" si="21"/>
        <v>0</v>
      </c>
      <c r="AI17" s="132">
        <f t="shared" si="22"/>
        <v>0</v>
      </c>
      <c r="AJ17" s="132">
        <f t="shared" si="23"/>
        <v>0</v>
      </c>
      <c r="AK17" s="132">
        <f t="shared" si="24"/>
        <v>0</v>
      </c>
      <c r="AL17" s="147">
        <f t="shared" si="5"/>
        <v>0</v>
      </c>
      <c r="AM17" s="148">
        <f t="shared" si="6"/>
        <v>0</v>
      </c>
      <c r="AO17" s="20" t="str">
        <f t="shared" si="4"/>
        <v/>
      </c>
    </row>
    <row r="18" spans="1:42" ht="17.25" customHeight="1" x14ac:dyDescent="0.2">
      <c r="A18" s="971"/>
      <c r="B18" s="973"/>
      <c r="C18" s="165"/>
      <c r="D18" s="167"/>
      <c r="E18" s="151"/>
      <c r="F18" s="152"/>
      <c r="G18" s="168"/>
      <c r="H18" s="163"/>
      <c r="I18" s="154"/>
      <c r="J18" s="164"/>
      <c r="K18" s="143" t="str">
        <f>IF(ISNUMBER(J18),J18*12,IF(J18="N/A","",""))</f>
        <v/>
      </c>
      <c r="L18" s="985" t="e">
        <f t="shared" ref="L18:L20" si="29">IF(ABS(O18-100%)&gt;2.5%,"Error, 'PMT' Does Not Equal 'Terms' ","")</f>
        <v>#NUM!</v>
      </c>
      <c r="M18" s="986"/>
      <c r="N18" s="144" t="e">
        <f t="shared" si="25"/>
        <v>#NUM!</v>
      </c>
      <c r="O18" s="156" t="e">
        <f t="shared" si="8"/>
        <v>#NUM!</v>
      </c>
      <c r="P18" s="316" t="str">
        <f t="shared" si="26"/>
        <v/>
      </c>
      <c r="S18" s="316" t="str">
        <f t="shared" si="28"/>
        <v>NA</v>
      </c>
      <c r="T18" s="112" t="str">
        <f t="shared" si="9"/>
        <v>N</v>
      </c>
      <c r="U18" s="131">
        <f t="shared" si="2"/>
        <v>0</v>
      </c>
      <c r="V18" s="131">
        <f t="shared" si="3"/>
        <v>0</v>
      </c>
      <c r="W18" s="132">
        <f t="shared" si="10"/>
        <v>0</v>
      </c>
      <c r="X18" s="132">
        <f t="shared" si="11"/>
        <v>0</v>
      </c>
      <c r="Y18" s="132">
        <f t="shared" si="12"/>
        <v>0</v>
      </c>
      <c r="Z18" s="132">
        <f t="shared" si="13"/>
        <v>0</v>
      </c>
      <c r="AA18" s="132">
        <f t="shared" si="14"/>
        <v>0</v>
      </c>
      <c r="AB18" s="132">
        <f t="shared" si="15"/>
        <v>0</v>
      </c>
      <c r="AC18" s="132">
        <f t="shared" si="16"/>
        <v>0</v>
      </c>
      <c r="AD18" s="132">
        <f t="shared" si="17"/>
        <v>0</v>
      </c>
      <c r="AE18" s="132">
        <f t="shared" si="18"/>
        <v>0</v>
      </c>
      <c r="AF18" s="132">
        <f t="shared" si="19"/>
        <v>0</v>
      </c>
      <c r="AG18" s="132">
        <f t="shared" si="20"/>
        <v>0</v>
      </c>
      <c r="AH18" s="132">
        <f t="shared" si="21"/>
        <v>0</v>
      </c>
      <c r="AI18" s="132">
        <f t="shared" si="22"/>
        <v>0</v>
      </c>
      <c r="AJ18" s="132">
        <f t="shared" si="23"/>
        <v>0</v>
      </c>
      <c r="AK18" s="132">
        <f t="shared" si="24"/>
        <v>0</v>
      </c>
      <c r="AL18" s="147">
        <f t="shared" si="5"/>
        <v>0</v>
      </c>
      <c r="AM18" s="148">
        <f t="shared" si="6"/>
        <v>0</v>
      </c>
      <c r="AO18" s="20" t="str">
        <f t="shared" si="4"/>
        <v/>
      </c>
    </row>
    <row r="19" spans="1:42" ht="17.25" customHeight="1" x14ac:dyDescent="0.2">
      <c r="A19" s="971"/>
      <c r="B19" s="973"/>
      <c r="C19" s="165"/>
      <c r="D19" s="167"/>
      <c r="E19" s="151"/>
      <c r="F19" s="152"/>
      <c r="G19" s="168"/>
      <c r="H19" s="163"/>
      <c r="I19" s="154"/>
      <c r="J19" s="164"/>
      <c r="K19" s="143" t="str">
        <f>IF(ISNUMBER(J19),J19*12,IF(J19="N/A","",""))</f>
        <v/>
      </c>
      <c r="L19" s="985" t="e">
        <f t="shared" si="29"/>
        <v>#NUM!</v>
      </c>
      <c r="M19" s="986"/>
      <c r="N19" s="144" t="e">
        <f t="shared" si="25"/>
        <v>#NUM!</v>
      </c>
      <c r="O19" s="156" t="e">
        <f t="shared" si="8"/>
        <v>#NUM!</v>
      </c>
      <c r="P19" s="316" t="str">
        <f t="shared" si="26"/>
        <v/>
      </c>
      <c r="S19" s="316" t="str">
        <f t="shared" si="28"/>
        <v>NA</v>
      </c>
      <c r="T19" s="112" t="str">
        <f t="shared" si="9"/>
        <v>N</v>
      </c>
      <c r="U19" s="131">
        <f t="shared" si="2"/>
        <v>0</v>
      </c>
      <c r="V19" s="131">
        <f t="shared" si="3"/>
        <v>0</v>
      </c>
      <c r="W19" s="132">
        <f t="shared" si="10"/>
        <v>0</v>
      </c>
      <c r="X19" s="132">
        <f t="shared" si="11"/>
        <v>0</v>
      </c>
      <c r="Y19" s="132">
        <f t="shared" si="12"/>
        <v>0</v>
      </c>
      <c r="Z19" s="132">
        <f t="shared" si="13"/>
        <v>0</v>
      </c>
      <c r="AA19" s="132">
        <f t="shared" si="14"/>
        <v>0</v>
      </c>
      <c r="AB19" s="132">
        <f t="shared" si="15"/>
        <v>0</v>
      </c>
      <c r="AC19" s="132">
        <f t="shared" si="16"/>
        <v>0</v>
      </c>
      <c r="AD19" s="132">
        <f t="shared" si="17"/>
        <v>0</v>
      </c>
      <c r="AE19" s="132">
        <f t="shared" si="18"/>
        <v>0</v>
      </c>
      <c r="AF19" s="132">
        <f t="shared" si="19"/>
        <v>0</v>
      </c>
      <c r="AG19" s="132">
        <f t="shared" si="20"/>
        <v>0</v>
      </c>
      <c r="AH19" s="132">
        <f t="shared" si="21"/>
        <v>0</v>
      </c>
      <c r="AI19" s="132">
        <f t="shared" si="22"/>
        <v>0</v>
      </c>
      <c r="AJ19" s="132">
        <f t="shared" si="23"/>
        <v>0</v>
      </c>
      <c r="AK19" s="132">
        <f t="shared" si="24"/>
        <v>0</v>
      </c>
      <c r="AL19" s="147">
        <f t="shared" si="5"/>
        <v>0</v>
      </c>
      <c r="AM19" s="148">
        <f t="shared" si="6"/>
        <v>0</v>
      </c>
      <c r="AO19" s="20" t="str">
        <f t="shared" si="4"/>
        <v/>
      </c>
    </row>
    <row r="20" spans="1:42" ht="17.25" customHeight="1" x14ac:dyDescent="0.2">
      <c r="A20" s="971"/>
      <c r="B20" s="973"/>
      <c r="C20" s="165"/>
      <c r="D20" s="167"/>
      <c r="E20" s="151"/>
      <c r="F20" s="152"/>
      <c r="G20" s="168"/>
      <c r="H20" s="163"/>
      <c r="I20" s="154"/>
      <c r="J20" s="164"/>
      <c r="K20" s="143" t="str">
        <f>IF(ISNUMBER(J20),J20*12,IF(J20="N/A","",""))</f>
        <v/>
      </c>
      <c r="L20" s="985" t="e">
        <f t="shared" si="29"/>
        <v>#NUM!</v>
      </c>
      <c r="M20" s="986"/>
      <c r="N20" s="144" t="e">
        <f t="shared" si="25"/>
        <v>#NUM!</v>
      </c>
      <c r="O20" s="156" t="e">
        <f t="shared" si="8"/>
        <v>#NUM!</v>
      </c>
      <c r="P20" s="316" t="str">
        <f t="shared" si="26"/>
        <v/>
      </c>
      <c r="S20" s="316" t="str">
        <f t="shared" si="28"/>
        <v>NA</v>
      </c>
      <c r="T20" s="112" t="str">
        <f t="shared" si="9"/>
        <v>N</v>
      </c>
      <c r="U20" s="131">
        <f t="shared" si="2"/>
        <v>0</v>
      </c>
      <c r="V20" s="131">
        <f t="shared" si="3"/>
        <v>0</v>
      </c>
      <c r="W20" s="132">
        <f t="shared" si="10"/>
        <v>0</v>
      </c>
      <c r="X20" s="132">
        <f t="shared" si="11"/>
        <v>0</v>
      </c>
      <c r="Y20" s="132">
        <f t="shared" si="12"/>
        <v>0</v>
      </c>
      <c r="Z20" s="132">
        <f t="shared" si="13"/>
        <v>0</v>
      </c>
      <c r="AA20" s="132">
        <f t="shared" si="14"/>
        <v>0</v>
      </c>
      <c r="AB20" s="132">
        <f t="shared" si="15"/>
        <v>0</v>
      </c>
      <c r="AC20" s="132">
        <f t="shared" si="16"/>
        <v>0</v>
      </c>
      <c r="AD20" s="132">
        <f t="shared" si="17"/>
        <v>0</v>
      </c>
      <c r="AE20" s="132">
        <f t="shared" si="18"/>
        <v>0</v>
      </c>
      <c r="AF20" s="132">
        <f t="shared" si="19"/>
        <v>0</v>
      </c>
      <c r="AG20" s="132">
        <f t="shared" si="20"/>
        <v>0</v>
      </c>
      <c r="AH20" s="132">
        <f t="shared" si="21"/>
        <v>0</v>
      </c>
      <c r="AI20" s="132">
        <f t="shared" si="22"/>
        <v>0</v>
      </c>
      <c r="AJ20" s="132">
        <f t="shared" si="23"/>
        <v>0</v>
      </c>
      <c r="AK20" s="132">
        <f t="shared" si="24"/>
        <v>0</v>
      </c>
      <c r="AL20" s="147">
        <f t="shared" si="5"/>
        <v>0</v>
      </c>
      <c r="AM20" s="148">
        <f t="shared" si="6"/>
        <v>0</v>
      </c>
      <c r="AO20" s="20" t="str">
        <f t="shared" si="4"/>
        <v/>
      </c>
    </row>
    <row r="21" spans="1:42" ht="17.25" customHeight="1" x14ac:dyDescent="0.2">
      <c r="A21" s="971"/>
      <c r="B21" s="973"/>
      <c r="C21" s="165"/>
      <c r="D21" s="136"/>
      <c r="E21" s="151"/>
      <c r="F21" s="152"/>
      <c r="G21" s="168"/>
      <c r="H21" s="169"/>
      <c r="I21" s="154"/>
      <c r="J21" s="164"/>
      <c r="K21" s="143" t="str">
        <f>IF(ISNUMBER(J21),J21*12,IF(J21="N/A","",""))</f>
        <v/>
      </c>
      <c r="L21" s="985" t="e">
        <f t="shared" si="27"/>
        <v>#NUM!</v>
      </c>
      <c r="M21" s="986"/>
      <c r="N21" s="144" t="e">
        <f>ROUND(IF(I21="Interest Only",(D21*E21)/12,PMT(E21/12,G21,D21)*-1),2)</f>
        <v>#NUM!</v>
      </c>
      <c r="O21" s="156" t="e">
        <f t="shared" si="8"/>
        <v>#NUM!</v>
      </c>
      <c r="P21" s="316" t="str">
        <f t="shared" si="26"/>
        <v/>
      </c>
      <c r="S21" s="316" t="str">
        <f t="shared" si="28"/>
        <v>NA</v>
      </c>
      <c r="T21" s="112" t="str">
        <f t="shared" si="9"/>
        <v>N</v>
      </c>
      <c r="U21" s="131">
        <f t="shared" si="2"/>
        <v>0</v>
      </c>
      <c r="V21" s="131">
        <f t="shared" si="3"/>
        <v>0</v>
      </c>
      <c r="W21" s="132">
        <f t="shared" si="10"/>
        <v>0</v>
      </c>
      <c r="X21" s="132">
        <f t="shared" si="11"/>
        <v>0</v>
      </c>
      <c r="Y21" s="132">
        <f t="shared" si="12"/>
        <v>0</v>
      </c>
      <c r="Z21" s="132">
        <f t="shared" si="13"/>
        <v>0</v>
      </c>
      <c r="AA21" s="132">
        <f t="shared" si="14"/>
        <v>0</v>
      </c>
      <c r="AB21" s="132">
        <f t="shared" si="15"/>
        <v>0</v>
      </c>
      <c r="AC21" s="132">
        <f t="shared" si="16"/>
        <v>0</v>
      </c>
      <c r="AD21" s="132">
        <f t="shared" si="17"/>
        <v>0</v>
      </c>
      <c r="AE21" s="132">
        <f t="shared" si="18"/>
        <v>0</v>
      </c>
      <c r="AF21" s="132">
        <f t="shared" si="19"/>
        <v>0</v>
      </c>
      <c r="AG21" s="132">
        <f t="shared" si="20"/>
        <v>0</v>
      </c>
      <c r="AH21" s="132">
        <f t="shared" si="21"/>
        <v>0</v>
      </c>
      <c r="AI21" s="132">
        <f t="shared" si="22"/>
        <v>0</v>
      </c>
      <c r="AJ21" s="132">
        <f t="shared" si="23"/>
        <v>0</v>
      </c>
      <c r="AK21" s="132">
        <f t="shared" si="24"/>
        <v>0</v>
      </c>
      <c r="AL21" s="147">
        <f t="shared" si="5"/>
        <v>0</v>
      </c>
      <c r="AM21" s="148">
        <f t="shared" si="6"/>
        <v>0</v>
      </c>
      <c r="AO21" s="20" t="str">
        <f t="shared" si="4"/>
        <v/>
      </c>
    </row>
    <row r="22" spans="1:42" ht="17.25" customHeight="1" thickBot="1" x14ac:dyDescent="0.25">
      <c r="A22" s="974"/>
      <c r="B22" s="975"/>
      <c r="C22" s="170"/>
      <c r="D22" s="170"/>
      <c r="E22" s="171"/>
      <c r="F22" s="172"/>
      <c r="G22" s="173"/>
      <c r="H22" s="174"/>
      <c r="I22" s="175"/>
      <c r="J22" s="176"/>
      <c r="K22" s="177" t="str">
        <f t="shared" si="0"/>
        <v/>
      </c>
      <c r="L22" s="989" t="e">
        <f t="shared" si="27"/>
        <v>#NUM!</v>
      </c>
      <c r="M22" s="990"/>
      <c r="N22" s="178" t="e">
        <f t="shared" ref="N22" si="30">ROUND((PMT(E22/12,G22,D22)*-1),2)</f>
        <v>#NUM!</v>
      </c>
      <c r="O22" s="179" t="e">
        <f t="shared" si="8"/>
        <v>#NUM!</v>
      </c>
      <c r="P22" s="316" t="str">
        <f t="shared" si="26"/>
        <v/>
      </c>
      <c r="S22" s="316" t="str">
        <f t="shared" si="28"/>
        <v>NA</v>
      </c>
      <c r="T22" s="112" t="str">
        <f t="shared" si="9"/>
        <v>N</v>
      </c>
      <c r="U22" s="131">
        <f t="shared" si="2"/>
        <v>0</v>
      </c>
      <c r="V22" s="131">
        <f t="shared" si="3"/>
        <v>0</v>
      </c>
      <c r="W22" s="132">
        <f t="shared" si="10"/>
        <v>0</v>
      </c>
      <c r="X22" s="132">
        <f t="shared" si="11"/>
        <v>0</v>
      </c>
      <c r="Y22" s="132">
        <f t="shared" si="12"/>
        <v>0</v>
      </c>
      <c r="Z22" s="132">
        <f t="shared" si="13"/>
        <v>0</v>
      </c>
      <c r="AA22" s="132">
        <f t="shared" si="14"/>
        <v>0</v>
      </c>
      <c r="AB22" s="132">
        <f t="shared" si="15"/>
        <v>0</v>
      </c>
      <c r="AC22" s="132">
        <f t="shared" si="16"/>
        <v>0</v>
      </c>
      <c r="AD22" s="132">
        <f t="shared" si="17"/>
        <v>0</v>
      </c>
      <c r="AE22" s="132">
        <f t="shared" si="18"/>
        <v>0</v>
      </c>
      <c r="AF22" s="132">
        <f t="shared" si="19"/>
        <v>0</v>
      </c>
      <c r="AG22" s="132">
        <f t="shared" si="20"/>
        <v>0</v>
      </c>
      <c r="AH22" s="132">
        <f t="shared" si="21"/>
        <v>0</v>
      </c>
      <c r="AI22" s="132">
        <f t="shared" si="22"/>
        <v>0</v>
      </c>
      <c r="AJ22" s="132">
        <f t="shared" si="23"/>
        <v>0</v>
      </c>
      <c r="AK22" s="132">
        <f t="shared" si="24"/>
        <v>0</v>
      </c>
      <c r="AL22" s="147">
        <f t="shared" si="5"/>
        <v>0</v>
      </c>
      <c r="AO22" s="180">
        <f>SUM(AO8:AO21)</f>
        <v>0</v>
      </c>
      <c r="AP22" s="180">
        <f>AO22+F41</f>
        <v>0</v>
      </c>
    </row>
    <row r="23" spans="1:42" ht="21" customHeight="1" thickBot="1" x14ac:dyDescent="0.25">
      <c r="A23" s="181" t="s">
        <v>661</v>
      </c>
      <c r="B23" s="182"/>
      <c r="C23" s="183"/>
      <c r="D23" s="184">
        <f>ROUND(SUM(D8:D22),0)</f>
        <v>0</v>
      </c>
      <c r="E23" s="185"/>
      <c r="F23" s="186"/>
      <c r="G23" s="183"/>
      <c r="H23" s="187">
        <f>SUM(H8:H22)</f>
        <v>0</v>
      </c>
      <c r="I23" s="183"/>
      <c r="J23" s="187">
        <f>SUM(J8:J22)</f>
        <v>0</v>
      </c>
      <c r="K23" s="188">
        <f>IF(OR(I10="Interest Only",I10="P&amp;I Payments"),K10,0)+IF(OR(I11="Interest Only",I11="P&amp;I Payments"),K11,0)+IF(OR(I12="Interest Only",I12="P&amp;I Payments"),K12,0)+IF(OR(I13="Interest Only",I13="P&amp;I Payments"),K13,0)+IF(OR(I14="Interest Only",I14="P&amp;I Payments"),K14,0)+IF(OR(I15="Interest Only",I15="P&amp;I Payments"),K15,0)+IF(OR(I16="Interest Only",I16="P&amp;I Payments"),K16,0)+IF(OR(I17="Interest Only",I17="P&amp;I Payments"),K17,0)+IF(OR(I18="Interest Only",I18="P&amp;I Payments"),K18,0)+IF(OR(I19="Interest Only",I19="P&amp;I Payments"),K19,0)+IF(OR(I20="Interest Only",I20="P&amp;I Payments"),K20,0)+IF(OR(I21="Interest Only",I21="P&amp;I Payments"),K21,0)+IF(OR(I22="Interest Only",I22="P&amp;I Payments"),K22,0)</f>
        <v>0</v>
      </c>
      <c r="L23" s="991"/>
      <c r="M23" s="992"/>
      <c r="N23" s="189"/>
      <c r="O23" s="190"/>
      <c r="P23" s="112"/>
      <c r="T23" s="1026" t="s">
        <v>1530</v>
      </c>
      <c r="U23" s="1026"/>
      <c r="V23" s="1026"/>
      <c r="W23" s="132">
        <f>SUM(W10:W22)</f>
        <v>0</v>
      </c>
      <c r="X23" s="132">
        <f t="shared" ref="X23:AK23" si="31">SUM(X10:X22)</f>
        <v>0</v>
      </c>
      <c r="Y23" s="132">
        <f t="shared" si="31"/>
        <v>0</v>
      </c>
      <c r="Z23" s="132">
        <f t="shared" si="31"/>
        <v>0</v>
      </c>
      <c r="AA23" s="132">
        <f t="shared" si="31"/>
        <v>0</v>
      </c>
      <c r="AB23" s="132">
        <f t="shared" si="31"/>
        <v>0</v>
      </c>
      <c r="AC23" s="132">
        <f t="shared" si="31"/>
        <v>0</v>
      </c>
      <c r="AD23" s="132">
        <f t="shared" si="31"/>
        <v>0</v>
      </c>
      <c r="AE23" s="132">
        <f t="shared" si="31"/>
        <v>0</v>
      </c>
      <c r="AF23" s="132">
        <f t="shared" si="31"/>
        <v>0</v>
      </c>
      <c r="AG23" s="132">
        <f t="shared" si="31"/>
        <v>0</v>
      </c>
      <c r="AH23" s="132">
        <f t="shared" si="31"/>
        <v>0</v>
      </c>
      <c r="AI23" s="132">
        <f t="shared" si="31"/>
        <v>0</v>
      </c>
      <c r="AJ23" s="132">
        <f t="shared" si="31"/>
        <v>0</v>
      </c>
      <c r="AK23" s="132">
        <f t="shared" si="31"/>
        <v>0</v>
      </c>
    </row>
    <row r="24" spans="1:42" ht="19.5" customHeight="1" x14ac:dyDescent="0.2">
      <c r="A24" s="191" t="s">
        <v>1447</v>
      </c>
      <c r="B24" s="192"/>
      <c r="C24" s="1016" t="str">
        <f>IF(ABS($D$23-'Development Budget Worksheet'!E121)&lt;0.5,"","Error, 'Total Residential Sources' Does Not Equal 'Total Residential Costs' on Development Budget")</f>
        <v/>
      </c>
      <c r="D24" s="1016"/>
      <c r="E24" s="1016"/>
      <c r="F24" s="1016"/>
      <c r="G24" s="995" t="str">
        <f>IF(H23&lt;&gt;H25,"Loan Fees do not match Development Budget","")</f>
        <v/>
      </c>
      <c r="H24" s="995"/>
      <c r="I24" s="995"/>
      <c r="J24" s="193"/>
      <c r="K24" s="194"/>
      <c r="L24" s="195"/>
      <c r="M24" s="196"/>
      <c r="N24" s="196"/>
      <c r="T24" s="1023" t="s">
        <v>1464</v>
      </c>
      <c r="U24" s="1023"/>
      <c r="V24" s="1023"/>
      <c r="W24" s="299">
        <f>SUM(W10:W23)</f>
        <v>0</v>
      </c>
      <c r="X24" s="102"/>
      <c r="Y24" s="102"/>
      <c r="Z24" s="102"/>
      <c r="AA24" s="102"/>
      <c r="AB24" s="102"/>
      <c r="AC24" s="102"/>
      <c r="AD24" s="102"/>
      <c r="AE24" s="102"/>
      <c r="AF24" s="102"/>
      <c r="AG24" s="102"/>
      <c r="AH24" s="102"/>
      <c r="AI24" s="102"/>
      <c r="AJ24" s="102"/>
      <c r="AK24" s="102"/>
    </row>
    <row r="25" spans="1:42" ht="13.5" thickBot="1" x14ac:dyDescent="0.25">
      <c r="A25" s="197"/>
      <c r="C25" s="1017"/>
      <c r="D25" s="1017"/>
      <c r="E25" s="1017"/>
      <c r="F25" s="1017"/>
      <c r="G25" s="21"/>
      <c r="H25" s="198">
        <f>'Development Budget Worksheet'!C74-'Development Budget Worksheet'!D74</f>
        <v>0</v>
      </c>
      <c r="J25" s="21"/>
      <c r="K25" s="199" t="s">
        <v>73</v>
      </c>
      <c r="L25" s="200"/>
      <c r="M25" s="201"/>
      <c r="N25" s="668" cm="1">
        <f t="array" ref="N25">MAX(IF(I8:I22 = "P&amp;I Payments",E8:E22))</f>
        <v>0</v>
      </c>
      <c r="O25" s="668" cm="1">
        <f t="array" ref="O25">MAX(IF(I8:I22 = "Interest Only",E8:E22))</f>
        <v>0</v>
      </c>
      <c r="T25" s="1023" t="s">
        <v>1465</v>
      </c>
      <c r="U25" s="1023"/>
      <c r="V25" s="1023"/>
      <c r="W25" s="180">
        <f>W22+W24</f>
        <v>0</v>
      </c>
    </row>
    <row r="26" spans="1:42" ht="13.5" thickBot="1" x14ac:dyDescent="0.25">
      <c r="A26" s="1014" t="s">
        <v>567</v>
      </c>
      <c r="B26" s="1015"/>
      <c r="C26" s="1015"/>
      <c r="D26" s="202">
        <f>SUMIF(J10:J22,"&gt;0",D10:D22)</f>
        <v>0</v>
      </c>
      <c r="G26" s="21"/>
      <c r="H26" s="21"/>
      <c r="K26" s="199" t="s">
        <v>74</v>
      </c>
      <c r="L26" s="203"/>
      <c r="M26" s="201"/>
      <c r="N26" s="731"/>
      <c r="O26" s="731"/>
    </row>
    <row r="27" spans="1:42" ht="13.5" thickBot="1" x14ac:dyDescent="0.25">
      <c r="A27" s="204">
        <f>'Project Information'!C14</f>
        <v>0</v>
      </c>
      <c r="B27" s="109">
        <f>'Development Budget Worksheet'!D119</f>
        <v>0</v>
      </c>
    </row>
    <row r="28" spans="1:42" ht="51.75" thickBot="1" x14ac:dyDescent="0.25">
      <c r="A28" s="1007" t="s">
        <v>659</v>
      </c>
      <c r="B28" s="1012"/>
      <c r="C28" s="205" t="s">
        <v>148</v>
      </c>
      <c r="D28" s="205" t="s">
        <v>45</v>
      </c>
      <c r="E28" s="205" t="s">
        <v>738</v>
      </c>
      <c r="F28" s="114" t="s">
        <v>142</v>
      </c>
      <c r="G28" s="206"/>
      <c r="H28" s="1007" t="s">
        <v>143</v>
      </c>
      <c r="I28" s="1008"/>
      <c r="J28" s="1009"/>
      <c r="K28" s="207" t="s">
        <v>148</v>
      </c>
      <c r="L28" s="208" t="s">
        <v>45</v>
      </c>
      <c r="M28" s="208" t="s">
        <v>46</v>
      </c>
      <c r="N28" s="114" t="s">
        <v>730</v>
      </c>
      <c r="R28" s="116" t="s">
        <v>1418</v>
      </c>
      <c r="S28" s="317"/>
    </row>
    <row r="29" spans="1:42" ht="17.25" customHeight="1" x14ac:dyDescent="0.2">
      <c r="A29" s="209" t="str">
        <f>IF(A27="No","You do not need to fill out this section.","Permanent Loan*:")</f>
        <v>Permanent Loan*:</v>
      </c>
      <c r="B29" s="210"/>
      <c r="C29" s="211" t="s">
        <v>758</v>
      </c>
      <c r="D29" s="212"/>
      <c r="E29" s="213"/>
      <c r="F29" s="214" t="str">
        <f t="shared" ref="F29:F40" si="32">IF(E29="","",E29*12)</f>
        <v/>
      </c>
      <c r="G29" s="215"/>
      <c r="H29" s="1010" t="s">
        <v>48</v>
      </c>
      <c r="I29" s="1011"/>
      <c r="J29" s="1011"/>
      <c r="K29" s="216"/>
      <c r="L29" s="313" t="str">
        <f>IF(OR(D8="",D8="Identify Type of AHP Funds Requested on the Project Information Tab.",D8="Enter Planned AHP Award Use on Development Budget Worksheet"),"",D8)</f>
        <v/>
      </c>
      <c r="M29" s="217"/>
      <c r="N29" s="218"/>
      <c r="P29" s="219"/>
      <c r="R29" s="112" t="str">
        <f t="shared" ref="R29:R40" si="33">IF(D29&gt;0,"Y","N")</f>
        <v>N</v>
      </c>
      <c r="S29" s="672">
        <f>IF(C29="Equity",21,IF(C29="Loan",16,IF(C29="Grant",20,"NA")))</f>
        <v>16</v>
      </c>
      <c r="AK29" s="20" t="s">
        <v>731</v>
      </c>
    </row>
    <row r="30" spans="1:42" ht="17.25" customHeight="1" x14ac:dyDescent="0.2">
      <c r="A30" s="971"/>
      <c r="B30" s="972"/>
      <c r="C30" s="220"/>
      <c r="D30" s="221"/>
      <c r="E30" s="222"/>
      <c r="F30" s="223" t="str">
        <f t="shared" si="32"/>
        <v/>
      </c>
      <c r="G30" s="215"/>
      <c r="H30" s="987" t="s">
        <v>49</v>
      </c>
      <c r="I30" s="988"/>
      <c r="J30" s="988"/>
      <c r="K30" s="135"/>
      <c r="L30" s="314" t="str">
        <f>IF(OR(D9="",D9="Identify Type of AHP Funds Requested on the Project Information Tab.",D9="Enter Planned AHP Award Use on Development Budget Worksheet"),"",D9)</f>
        <v/>
      </c>
      <c r="M30" s="224"/>
      <c r="N30" s="225"/>
      <c r="R30" s="112" t="str">
        <f t="shared" si="33"/>
        <v>N</v>
      </c>
      <c r="S30" s="672" t="str">
        <f t="shared" ref="S30:S40" si="34">IF(C30="Equity",21,IF(C30="Loan",16,IF(C30="Grant",20,"NA")))</f>
        <v>NA</v>
      </c>
    </row>
    <row r="31" spans="1:42" ht="17.25" customHeight="1" x14ac:dyDescent="0.2">
      <c r="A31" s="971"/>
      <c r="B31" s="973"/>
      <c r="C31" s="220"/>
      <c r="D31" s="221"/>
      <c r="E31" s="222"/>
      <c r="F31" s="223" t="str">
        <f t="shared" si="32"/>
        <v/>
      </c>
      <c r="G31" s="215"/>
      <c r="H31" s="226" t="s">
        <v>1448</v>
      </c>
      <c r="I31" s="1020"/>
      <c r="J31" s="972"/>
      <c r="K31" s="227" t="s">
        <v>758</v>
      </c>
      <c r="L31" s="136"/>
      <c r="M31" s="151"/>
      <c r="N31" s="228"/>
      <c r="R31" s="112" t="str">
        <f t="shared" si="33"/>
        <v>N</v>
      </c>
      <c r="S31" s="672" t="str">
        <f t="shared" si="34"/>
        <v>NA</v>
      </c>
      <c r="AK31" s="147">
        <f t="shared" ref="AK31:AK40" si="35">IF(AND(L31&gt;0,K31="Loan"),N31/L31,0)</f>
        <v>0</v>
      </c>
      <c r="AL31" s="148">
        <f>N31</f>
        <v>0</v>
      </c>
    </row>
    <row r="32" spans="1:42" ht="17.25" customHeight="1" x14ac:dyDescent="0.2">
      <c r="A32" s="971"/>
      <c r="B32" s="973"/>
      <c r="C32" s="220"/>
      <c r="D32" s="221"/>
      <c r="E32" s="222"/>
      <c r="F32" s="223" t="str">
        <f t="shared" si="32"/>
        <v/>
      </c>
      <c r="G32" s="215"/>
      <c r="H32" s="971"/>
      <c r="I32" s="1013"/>
      <c r="J32" s="972"/>
      <c r="K32" s="165"/>
      <c r="L32" s="136"/>
      <c r="M32" s="151"/>
      <c r="N32" s="228"/>
      <c r="R32" s="112" t="str">
        <f t="shared" si="33"/>
        <v>N</v>
      </c>
      <c r="S32" s="672" t="str">
        <f t="shared" si="34"/>
        <v>NA</v>
      </c>
      <c r="AK32" s="147">
        <f t="shared" si="35"/>
        <v>0</v>
      </c>
      <c r="AL32" s="148">
        <f t="shared" ref="AL32:AL40" si="36">N32</f>
        <v>0</v>
      </c>
    </row>
    <row r="33" spans="1:39" ht="17.25" customHeight="1" x14ac:dyDescent="0.2">
      <c r="A33" s="971"/>
      <c r="B33" s="973"/>
      <c r="C33" s="220"/>
      <c r="D33" s="221"/>
      <c r="E33" s="222"/>
      <c r="F33" s="223" t="str">
        <f t="shared" si="32"/>
        <v/>
      </c>
      <c r="G33" s="215"/>
      <c r="H33" s="971"/>
      <c r="I33" s="1013"/>
      <c r="J33" s="972"/>
      <c r="K33" s="165"/>
      <c r="L33" s="136"/>
      <c r="M33" s="151"/>
      <c r="N33" s="228"/>
      <c r="R33" s="112" t="str">
        <f t="shared" si="33"/>
        <v>N</v>
      </c>
      <c r="S33" s="672" t="str">
        <f t="shared" si="34"/>
        <v>NA</v>
      </c>
      <c r="AK33" s="147">
        <f t="shared" si="35"/>
        <v>0</v>
      </c>
      <c r="AL33" s="148">
        <f t="shared" si="36"/>
        <v>0</v>
      </c>
    </row>
    <row r="34" spans="1:39" ht="17.25" customHeight="1" x14ac:dyDescent="0.2">
      <c r="A34" s="971"/>
      <c r="B34" s="973"/>
      <c r="C34" s="220"/>
      <c r="D34" s="221"/>
      <c r="E34" s="222"/>
      <c r="F34" s="223" t="str">
        <f t="shared" si="32"/>
        <v/>
      </c>
      <c r="G34" s="215"/>
      <c r="H34" s="971"/>
      <c r="I34" s="1013"/>
      <c r="J34" s="972"/>
      <c r="K34" s="165"/>
      <c r="L34" s="136"/>
      <c r="M34" s="151"/>
      <c r="N34" s="228"/>
      <c r="R34" s="112" t="str">
        <f t="shared" si="33"/>
        <v>N</v>
      </c>
      <c r="S34" s="672" t="str">
        <f t="shared" si="34"/>
        <v>NA</v>
      </c>
      <c r="AK34" s="147">
        <f t="shared" si="35"/>
        <v>0</v>
      </c>
      <c r="AL34" s="148">
        <f t="shared" si="36"/>
        <v>0</v>
      </c>
    </row>
    <row r="35" spans="1:39" ht="17.25" customHeight="1" x14ac:dyDescent="0.2">
      <c r="A35" s="971"/>
      <c r="B35" s="973"/>
      <c r="C35" s="220"/>
      <c r="D35" s="221"/>
      <c r="E35" s="222"/>
      <c r="F35" s="223" t="str">
        <f t="shared" si="32"/>
        <v/>
      </c>
      <c r="G35" s="215"/>
      <c r="H35" s="971"/>
      <c r="I35" s="1013"/>
      <c r="J35" s="972"/>
      <c r="K35" s="165"/>
      <c r="L35" s="136"/>
      <c r="M35" s="151"/>
      <c r="N35" s="228"/>
      <c r="R35" s="112" t="str">
        <f t="shared" si="33"/>
        <v>N</v>
      </c>
      <c r="S35" s="672" t="str">
        <f t="shared" si="34"/>
        <v>NA</v>
      </c>
      <c r="AK35" s="147">
        <f t="shared" si="35"/>
        <v>0</v>
      </c>
      <c r="AL35" s="148">
        <f t="shared" si="36"/>
        <v>0</v>
      </c>
    </row>
    <row r="36" spans="1:39" ht="17.25" customHeight="1" x14ac:dyDescent="0.2">
      <c r="A36" s="971"/>
      <c r="B36" s="973"/>
      <c r="C36" s="220"/>
      <c r="D36" s="221"/>
      <c r="E36" s="222"/>
      <c r="F36" s="223" t="str">
        <f t="shared" si="32"/>
        <v/>
      </c>
      <c r="G36" s="215"/>
      <c r="H36" s="971"/>
      <c r="I36" s="1013"/>
      <c r="J36" s="972"/>
      <c r="K36" s="165"/>
      <c r="L36" s="136"/>
      <c r="M36" s="151"/>
      <c r="N36" s="228"/>
      <c r="R36" s="112" t="str">
        <f t="shared" si="33"/>
        <v>N</v>
      </c>
      <c r="S36" s="672" t="str">
        <f t="shared" si="34"/>
        <v>NA</v>
      </c>
      <c r="AK36" s="147">
        <f t="shared" si="35"/>
        <v>0</v>
      </c>
      <c r="AL36" s="148">
        <f t="shared" si="36"/>
        <v>0</v>
      </c>
    </row>
    <row r="37" spans="1:39" ht="17.25" customHeight="1" x14ac:dyDescent="0.2">
      <c r="A37" s="971"/>
      <c r="B37" s="973"/>
      <c r="C37" s="220"/>
      <c r="D37" s="221"/>
      <c r="E37" s="222"/>
      <c r="F37" s="223" t="str">
        <f t="shared" si="32"/>
        <v/>
      </c>
      <c r="G37" s="215"/>
      <c r="H37" s="967"/>
      <c r="I37" s="968"/>
      <c r="J37" s="968"/>
      <c r="K37" s="220"/>
      <c r="L37" s="167"/>
      <c r="M37" s="229"/>
      <c r="N37" s="230"/>
      <c r="R37" s="112" t="str">
        <f t="shared" si="33"/>
        <v>N</v>
      </c>
      <c r="S37" s="672" t="str">
        <f t="shared" si="34"/>
        <v>NA</v>
      </c>
      <c r="AK37" s="147">
        <f t="shared" si="35"/>
        <v>0</v>
      </c>
      <c r="AL37" s="148">
        <f t="shared" si="36"/>
        <v>0</v>
      </c>
    </row>
    <row r="38" spans="1:39" ht="17.25" customHeight="1" x14ac:dyDescent="0.2">
      <c r="A38" s="971"/>
      <c r="B38" s="973"/>
      <c r="C38" s="220"/>
      <c r="D38" s="221"/>
      <c r="E38" s="222"/>
      <c r="F38" s="223" t="str">
        <f t="shared" si="32"/>
        <v/>
      </c>
      <c r="G38" s="215"/>
      <c r="H38" s="967"/>
      <c r="I38" s="968"/>
      <c r="J38" s="968"/>
      <c r="K38" s="220"/>
      <c r="L38" s="167"/>
      <c r="M38" s="229"/>
      <c r="N38" s="230"/>
      <c r="R38" s="112" t="str">
        <f t="shared" si="33"/>
        <v>N</v>
      </c>
      <c r="S38" s="672" t="str">
        <f t="shared" si="34"/>
        <v>NA</v>
      </c>
      <c r="AK38" s="147">
        <f t="shared" si="35"/>
        <v>0</v>
      </c>
      <c r="AL38" s="148">
        <f t="shared" si="36"/>
        <v>0</v>
      </c>
    </row>
    <row r="39" spans="1:39" ht="17.25" customHeight="1" x14ac:dyDescent="0.2">
      <c r="A39" s="971"/>
      <c r="B39" s="973"/>
      <c r="C39" s="220"/>
      <c r="D39" s="221"/>
      <c r="E39" s="222"/>
      <c r="F39" s="223" t="str">
        <f t="shared" si="32"/>
        <v/>
      </c>
      <c r="G39" s="215"/>
      <c r="H39" s="967"/>
      <c r="I39" s="968"/>
      <c r="J39" s="968"/>
      <c r="K39" s="220"/>
      <c r="L39" s="167"/>
      <c r="M39" s="229"/>
      <c r="N39" s="230"/>
      <c r="R39" s="112" t="str">
        <f t="shared" si="33"/>
        <v>N</v>
      </c>
      <c r="S39" s="672" t="str">
        <f t="shared" si="34"/>
        <v>NA</v>
      </c>
      <c r="AK39" s="147">
        <f t="shared" si="35"/>
        <v>0</v>
      </c>
      <c r="AL39" s="148">
        <f t="shared" si="36"/>
        <v>0</v>
      </c>
    </row>
    <row r="40" spans="1:39" ht="17.25" customHeight="1" thickBot="1" x14ac:dyDescent="0.25">
      <c r="A40" s="974"/>
      <c r="B40" s="975"/>
      <c r="C40" s="220"/>
      <c r="D40" s="232"/>
      <c r="E40" s="233"/>
      <c r="F40" s="234" t="str">
        <f t="shared" si="32"/>
        <v/>
      </c>
      <c r="G40" s="215"/>
      <c r="H40" s="969"/>
      <c r="I40" s="970"/>
      <c r="J40" s="970"/>
      <c r="K40" s="231"/>
      <c r="L40" s="315"/>
      <c r="M40" s="235"/>
      <c r="N40" s="236"/>
      <c r="R40" s="112" t="str">
        <f t="shared" si="33"/>
        <v>N</v>
      </c>
      <c r="S40" s="672" t="str">
        <f t="shared" si="34"/>
        <v>NA</v>
      </c>
      <c r="AK40" s="147">
        <f t="shared" si="35"/>
        <v>0</v>
      </c>
      <c r="AL40" s="148">
        <f t="shared" si="36"/>
        <v>0</v>
      </c>
    </row>
    <row r="41" spans="1:39" ht="21" customHeight="1" thickBot="1" x14ac:dyDescent="0.25">
      <c r="A41" s="1018" t="s">
        <v>660</v>
      </c>
      <c r="B41" s="1019"/>
      <c r="C41" s="237"/>
      <c r="D41" s="184">
        <f>SUM(D29:D40)</f>
        <v>0</v>
      </c>
      <c r="E41" s="238">
        <f>SUM(E29:E40)</f>
        <v>0</v>
      </c>
      <c r="F41" s="239">
        <f>SUM(F29:F40)</f>
        <v>0</v>
      </c>
      <c r="G41" s="105"/>
      <c r="H41" s="1021" t="s">
        <v>662</v>
      </c>
      <c r="I41" s="1022"/>
      <c r="J41" s="1022"/>
      <c r="K41" s="240"/>
      <c r="L41" s="241">
        <f>SUM(L29:L40)</f>
        <v>0</v>
      </c>
      <c r="M41" s="242"/>
      <c r="N41" s="243">
        <f>SUM(N31:N40)</f>
        <v>0</v>
      </c>
      <c r="O41" s="193"/>
    </row>
    <row r="42" spans="1:39" ht="12.75" customHeight="1" x14ac:dyDescent="0.2">
      <c r="A42" s="191" t="s">
        <v>1449</v>
      </c>
      <c r="C42" s="1005" t="str">
        <f>IF(ABS($D$41-'Development Budget Worksheet'!D119)&lt;0.5,"","Error, 'Total Non-Residential Sources' Does Not Equal 'Non- Residential Costs' on Development Budget")</f>
        <v/>
      </c>
      <c r="D42" s="1005"/>
      <c r="E42" s="1005"/>
      <c r="F42" s="1005"/>
      <c r="G42" s="244"/>
      <c r="H42" s="191" t="s">
        <v>1450</v>
      </c>
      <c r="I42" s="193"/>
      <c r="K42" s="193"/>
      <c r="L42" s="194"/>
      <c r="M42" s="993" t="str">
        <f>IF(N41&lt;&gt;O43,"Loan Fees do not match Development Budget","")</f>
        <v/>
      </c>
      <c r="N42" s="993"/>
      <c r="O42" s="994"/>
      <c r="AL42" s="180">
        <f>D23+D41</f>
        <v>0</v>
      </c>
      <c r="AM42" s="20" t="s">
        <v>1403</v>
      </c>
    </row>
    <row r="43" spans="1:39" x14ac:dyDescent="0.2">
      <c r="A43" s="245">
        <f>'Development Budget Worksheet'!C117</f>
        <v>0</v>
      </c>
      <c r="C43" s="1006"/>
      <c r="D43" s="1006"/>
      <c r="E43" s="1006"/>
      <c r="F43" s="1006"/>
      <c r="G43" s="244"/>
      <c r="J43" s="20" t="e">
        <f>IF(J44&lt;90%,"Is there sufficent interim financing capacity?","")</f>
        <v>#DIV/0!</v>
      </c>
      <c r="O43" s="109">
        <f>'Development Budget Worksheet'!C59</f>
        <v>0</v>
      </c>
    </row>
    <row r="44" spans="1:39" x14ac:dyDescent="0.2">
      <c r="B44" s="192"/>
      <c r="C44" s="1006"/>
      <c r="D44" s="1006"/>
      <c r="E44" s="1006"/>
      <c r="F44" s="1006"/>
      <c r="J44" s="246" t="e">
        <f>L41/('Development Budget Worksheet'!C12+'Development Budget Worksheet'!C25+'Development Budget Worksheet'!C40+'Development Budget Worksheet'!C51+'Development Budget Worksheet'!C67)</f>
        <v>#DIV/0!</v>
      </c>
    </row>
    <row r="45" spans="1:39" x14ac:dyDescent="0.2">
      <c r="A45" s="191" t="s">
        <v>71</v>
      </c>
      <c r="J45" s="105" t="e">
        <f>IF(J44&gt;110%,"Why is the construction/Interim Financing so large?","")</f>
        <v>#DIV/0!</v>
      </c>
    </row>
    <row r="46" spans="1:39" ht="13.5" thickBot="1" x14ac:dyDescent="0.25">
      <c r="A46" s="247" t="s">
        <v>1424</v>
      </c>
      <c r="J46" s="191"/>
    </row>
    <row r="47" spans="1:39" x14ac:dyDescent="0.2">
      <c r="A47" s="996"/>
      <c r="B47" s="997"/>
      <c r="C47" s="997"/>
      <c r="D47" s="997"/>
      <c r="E47" s="997"/>
      <c r="F47" s="997"/>
      <c r="G47" s="997"/>
      <c r="H47" s="997"/>
      <c r="I47" s="997"/>
      <c r="J47" s="997"/>
      <c r="K47" s="997"/>
      <c r="L47" s="997"/>
      <c r="M47" s="997"/>
      <c r="N47" s="997"/>
      <c r="O47" s="998"/>
    </row>
    <row r="48" spans="1:39" x14ac:dyDescent="0.2">
      <c r="A48" s="999"/>
      <c r="B48" s="1000"/>
      <c r="C48" s="1000"/>
      <c r="D48" s="1000"/>
      <c r="E48" s="1000"/>
      <c r="F48" s="1000"/>
      <c r="G48" s="1000"/>
      <c r="H48" s="1000"/>
      <c r="I48" s="1000"/>
      <c r="J48" s="1000"/>
      <c r="K48" s="1000"/>
      <c r="L48" s="1000"/>
      <c r="M48" s="1000"/>
      <c r="N48" s="1000"/>
      <c r="O48" s="1001"/>
    </row>
    <row r="49" spans="1:15" x14ac:dyDescent="0.2">
      <c r="A49" s="999"/>
      <c r="B49" s="1000"/>
      <c r="C49" s="1000"/>
      <c r="D49" s="1000"/>
      <c r="E49" s="1000"/>
      <c r="F49" s="1000"/>
      <c r="G49" s="1000"/>
      <c r="H49" s="1000"/>
      <c r="I49" s="1000"/>
      <c r="J49" s="1000"/>
      <c r="K49" s="1000"/>
      <c r="L49" s="1000"/>
      <c r="M49" s="1000"/>
      <c r="N49" s="1000"/>
      <c r="O49" s="1001"/>
    </row>
    <row r="50" spans="1:15" x14ac:dyDescent="0.2">
      <c r="A50" s="999"/>
      <c r="B50" s="1000"/>
      <c r="C50" s="1000"/>
      <c r="D50" s="1000"/>
      <c r="E50" s="1000"/>
      <c r="F50" s="1000"/>
      <c r="G50" s="1000"/>
      <c r="H50" s="1000"/>
      <c r="I50" s="1000"/>
      <c r="J50" s="1000"/>
      <c r="K50" s="1000"/>
      <c r="L50" s="1000"/>
      <c r="M50" s="1000"/>
      <c r="N50" s="1000"/>
      <c r="O50" s="1001"/>
    </row>
    <row r="51" spans="1:15" ht="13.5" thickBot="1" x14ac:dyDescent="0.25">
      <c r="A51" s="1002"/>
      <c r="B51" s="1003"/>
      <c r="C51" s="1003"/>
      <c r="D51" s="1003"/>
      <c r="E51" s="1003"/>
      <c r="F51" s="1003"/>
      <c r="G51" s="1003"/>
      <c r="H51" s="1003"/>
      <c r="I51" s="1003"/>
      <c r="J51" s="1003"/>
      <c r="K51" s="1003"/>
      <c r="L51" s="1003"/>
      <c r="M51" s="1003"/>
      <c r="N51" s="1003"/>
      <c r="O51" s="1004"/>
    </row>
    <row r="53" spans="1:15" x14ac:dyDescent="0.2">
      <c r="F53" s="248"/>
      <c r="G53" s="248"/>
    </row>
  </sheetData>
  <sheetProtection algorithmName="SHA-512" hashValue="mHVeop/5/MbdY5HOsj0tlSPm6/NhQlucxkeps1ddxNKL1TxQHIsS4jY2Du532VmggD3ANTKPPyoY39Eobc7J/Q==" saltValue="JjEyqY2zx+9pdQKSZDzBZA==" spinCount="100000" sheet="1" selectLockedCells="1"/>
  <customSheetViews>
    <customSheetView guid="{695F2D09-97F7-4A62-ACE9-B0C2EFD91E95}" showGridLines="0" hiddenColumns="1">
      <selection activeCell="D8" sqref="D8"/>
      <pageMargins left="0.7" right="0.7" top="0.75" bottom="0.75" header="0.3" footer="0.3"/>
      <printOptions horizontalCentered="1" verticalCentered="1"/>
      <pageSetup scale="55" fitToHeight="0" orientation="landscape" r:id="rId1"/>
      <headerFooter>
        <oddHeader>&amp;C&amp;"Arial,Bold"&amp;11FHLBank Topeka - Affordable Housing Program 
&amp;A&amp;R&amp;D</oddHeader>
        <oddFooter>&amp;LRevised 3/17/15</oddFooter>
      </headerFooter>
    </customSheetView>
  </customSheetViews>
  <mergeCells count="66">
    <mergeCell ref="H41:J41"/>
    <mergeCell ref="H35:J35"/>
    <mergeCell ref="T24:V24"/>
    <mergeCell ref="T25:V25"/>
    <mergeCell ref="A15:B15"/>
    <mergeCell ref="A16:B16"/>
    <mergeCell ref="A17:B17"/>
    <mergeCell ref="A18:B18"/>
    <mergeCell ref="A19:B19"/>
    <mergeCell ref="A20:B20"/>
    <mergeCell ref="A21:B21"/>
    <mergeCell ref="A22:B22"/>
    <mergeCell ref="T23:V23"/>
    <mergeCell ref="L19:M19"/>
    <mergeCell ref="L20:M20"/>
    <mergeCell ref="H38:J38"/>
    <mergeCell ref="M42:O42"/>
    <mergeCell ref="G24:I24"/>
    <mergeCell ref="A47:O51"/>
    <mergeCell ref="C42:F44"/>
    <mergeCell ref="H28:J28"/>
    <mergeCell ref="H29:J29"/>
    <mergeCell ref="A28:B28"/>
    <mergeCell ref="H33:J33"/>
    <mergeCell ref="H34:J34"/>
    <mergeCell ref="A26:C26"/>
    <mergeCell ref="C24:F25"/>
    <mergeCell ref="A41:B41"/>
    <mergeCell ref="H32:J32"/>
    <mergeCell ref="I31:J31"/>
    <mergeCell ref="H36:J36"/>
    <mergeCell ref="H37:J37"/>
    <mergeCell ref="C1:O1"/>
    <mergeCell ref="C2:O2"/>
    <mergeCell ref="L9:M9"/>
    <mergeCell ref="L10:M10"/>
    <mergeCell ref="H30:J30"/>
    <mergeCell ref="L11:M11"/>
    <mergeCell ref="L17:M17"/>
    <mergeCell ref="L21:M21"/>
    <mergeCell ref="L22:M22"/>
    <mergeCell ref="L23:M23"/>
    <mergeCell ref="L12:M12"/>
    <mergeCell ref="L13:M13"/>
    <mergeCell ref="L14:M14"/>
    <mergeCell ref="L15:M15"/>
    <mergeCell ref="L16:M16"/>
    <mergeCell ref="L18:M18"/>
    <mergeCell ref="A7:B7"/>
    <mergeCell ref="L7:M7"/>
    <mergeCell ref="L8:M8"/>
    <mergeCell ref="A4:F5"/>
    <mergeCell ref="A3:O3"/>
    <mergeCell ref="H39:J39"/>
    <mergeCell ref="H40:J40"/>
    <mergeCell ref="A30:B30"/>
    <mergeCell ref="A31:B31"/>
    <mergeCell ref="A32:B32"/>
    <mergeCell ref="A33:B33"/>
    <mergeCell ref="A34:B34"/>
    <mergeCell ref="A40:B40"/>
    <mergeCell ref="A35:B35"/>
    <mergeCell ref="A36:B36"/>
    <mergeCell ref="A37:B37"/>
    <mergeCell ref="A38:B38"/>
    <mergeCell ref="A39:B39"/>
  </mergeCells>
  <conditionalFormatting sqref="A29">
    <cfRule type="expression" dxfId="70" priority="20">
      <formula>$A$27="No"</formula>
    </cfRule>
  </conditionalFormatting>
  <conditionalFormatting sqref="A30:F44">
    <cfRule type="expression" dxfId="69" priority="26" stopIfTrue="1">
      <formula>OR($A$27="No",$A$27="")</formula>
    </cfRule>
  </conditionalFormatting>
  <conditionalFormatting sqref="B10">
    <cfRule type="expression" dxfId="68" priority="380">
      <formula>AND($D$10&gt;0,$B$10="")</formula>
    </cfRule>
    <cfRule type="expression" dxfId="67" priority="381" stopIfTrue="1">
      <formula>AND(B10="",$D10&lt;&gt;"")</formula>
    </cfRule>
  </conditionalFormatting>
  <conditionalFormatting sqref="B29">
    <cfRule type="expression" dxfId="66" priority="10">
      <formula>AND($D$29&gt;0,$B$29="")</formula>
    </cfRule>
    <cfRule type="expression" dxfId="65" priority="54" stopIfTrue="1">
      <formula>AND(B29="",$D29&lt;&gt;"")</formula>
    </cfRule>
  </conditionalFormatting>
  <conditionalFormatting sqref="B29:F29">
    <cfRule type="expression" dxfId="64" priority="19">
      <formula>$A$27="No"</formula>
    </cfRule>
  </conditionalFormatting>
  <conditionalFormatting sqref="D6">
    <cfRule type="expression" dxfId="63" priority="378">
      <formula>($D$8/$A$6)&gt;30000</formula>
    </cfRule>
    <cfRule type="expression" dxfId="62" priority="379">
      <formula>($D$9/$A$6)&gt;30000</formula>
    </cfRule>
  </conditionalFormatting>
  <conditionalFormatting sqref="D8">
    <cfRule type="expression" dxfId="61" priority="35">
      <formula>$D$8/$A$6&gt;50000</formula>
    </cfRule>
  </conditionalFormatting>
  <conditionalFormatting sqref="D8:D9">
    <cfRule type="cellIs" dxfId="60" priority="12" operator="greaterThan">
      <formula>1000000</formula>
    </cfRule>
  </conditionalFormatting>
  <conditionalFormatting sqref="D9">
    <cfRule type="expression" dxfId="59" priority="42">
      <formula>($D$9/$A$6)&gt;75000</formula>
    </cfRule>
  </conditionalFormatting>
  <conditionalFormatting sqref="D23">
    <cfRule type="cellIs" dxfId="58" priority="15" operator="equal">
      <formula>$B$6</formula>
    </cfRule>
    <cfRule type="cellIs" dxfId="57" priority="25" operator="notEqual">
      <formula>$B$6</formula>
    </cfRule>
  </conditionalFormatting>
  <conditionalFormatting sqref="D41">
    <cfRule type="cellIs" dxfId="56" priority="27" operator="equal">
      <formula>$B$27</formula>
    </cfRule>
    <cfRule type="cellIs" dxfId="55" priority="28" operator="notEqual">
      <formula>$B$27</formula>
    </cfRule>
  </conditionalFormatting>
  <conditionalFormatting sqref="I10">
    <cfRule type="expression" dxfId="54" priority="8">
      <formula>AND($D$10&gt;0,$I$10="")</formula>
    </cfRule>
  </conditionalFormatting>
  <conditionalFormatting sqref="I14:I22">
    <cfRule type="expression" dxfId="53" priority="6">
      <formula>AND(C14="Loan",D14&gt;0,I14="")</formula>
    </cfRule>
  </conditionalFormatting>
  <conditionalFormatting sqref="I31:J31">
    <cfRule type="expression" dxfId="52" priority="9">
      <formula>AND($L$31&gt;0,$I$31="")</formula>
    </cfRule>
  </conditionalFormatting>
  <conditionalFormatting sqref="J10">
    <cfRule type="cellIs" priority="36" stopIfTrue="1" operator="greaterThan">
      <formula>0</formula>
    </cfRule>
    <cfRule type="expression" dxfId="51" priority="37">
      <formula>AND(D10&gt;0,OR($I$10="P&amp;I Payments",I10="Interest Only"))</formula>
    </cfRule>
  </conditionalFormatting>
  <conditionalFormatting sqref="J14:J22">
    <cfRule type="expression" dxfId="50" priority="3">
      <formula>AND(C14="Loan",D14&gt;0,J14="",OR(I14="Interest Only",I14="P&amp;I Payments"))</formula>
    </cfRule>
  </conditionalFormatting>
  <conditionalFormatting sqref="J43">
    <cfRule type="notContainsBlanks" dxfId="49" priority="49">
      <formula>LEN(TRIM(J43))&gt;0</formula>
    </cfRule>
  </conditionalFormatting>
  <conditionalFormatting sqref="L8:L22 N8:O22 J43:J45">
    <cfRule type="containsErrors" dxfId="48" priority="46" stopIfTrue="1">
      <formula>ISERROR(J8)</formula>
    </cfRule>
  </conditionalFormatting>
  <conditionalFormatting sqref="O8 O10:O22">
    <cfRule type="cellIs" dxfId="47" priority="50" operator="lessThan">
      <formula>0.97499999999</formula>
    </cfRule>
    <cfRule type="cellIs" dxfId="46" priority="51" operator="greaterThan">
      <formula>1.0250000000001</formula>
    </cfRule>
    <cfRule type="cellIs" dxfId="45" priority="52" operator="between">
      <formula>0.975</formula>
      <formula>1.025</formula>
    </cfRule>
  </conditionalFormatting>
  <conditionalFormatting sqref="P29">
    <cfRule type="containsErrors" dxfId="44" priority="1" stopIfTrue="1">
      <formula>ISERROR(P29)</formula>
    </cfRule>
  </conditionalFormatting>
  <dataValidations xWindow="1368" yWindow="623" count="20">
    <dataValidation type="decimal" allowBlank="1" showInputMessage="1" showErrorMessage="1" error="Enter a valid number of months" sqref="N29:N30 G29:G40 F8:F22 G10:G11" xr:uid="{00000000-0002-0000-0800-000000000000}">
      <formula1>0</formula1>
      <formula2>100000</formula2>
    </dataValidation>
    <dataValidation type="decimal" allowBlank="1" showInputMessage="1" showErrorMessage="1" sqref="M28:M40 E26:E27 E8:E23" xr:uid="{00000000-0002-0000-0800-000001000000}">
      <formula1>0</formula1>
      <formula2>10</formula2>
    </dataValidation>
    <dataValidation type="decimal" allowBlank="1" showInputMessage="1" showErrorMessage="1" error="Please enter in a loan dollar amount" promptTitle="Amount" sqref="L32:L40 D11:D20 D22" xr:uid="{00000000-0002-0000-0800-000002000000}">
      <formula1>0</formula1>
      <formula2>1000000000</formula2>
    </dataValidation>
    <dataValidation type="list" allowBlank="1" showInputMessage="1" showErrorMessage="1" promptTitle="Entering a loan" prompt="If you choose &quot;Loan&quot;, make sure you enter the Loan Fee and Loan Interest amount on the Development Budget Page." sqref="K31:K40" xr:uid="{00000000-0002-0000-0800-000003000000}">
      <formula1>"Loan, Grant, Equity"</formula1>
    </dataValidation>
    <dataValidation type="decimal" allowBlank="1" showInputMessage="1" showErrorMessage="1" error="Please enter in a loan dollar amount" promptTitle="Amount" prompt="Should match supporting documentation._x000a_Include loan interest and fees on development budget." sqref="L31" xr:uid="{00000000-0002-0000-0800-000004000000}">
      <formula1>0</formula1>
      <formula2>1000000000</formula2>
    </dataValidation>
    <dataValidation type="list" allowBlank="1" showInputMessage="1" showErrorMessage="1" sqref="K29:K30 C8:C9" xr:uid="{00000000-0002-0000-0800-000005000000}">
      <formula1>$Q$7:$Q$12</formula1>
    </dataValidation>
    <dataValidation allowBlank="1" showInputMessage="1" showErrorMessage="1" error="Please enter in a loan dollar amount" promptTitle="Amount" sqref="L29:L30" xr:uid="{00000000-0002-0000-0800-000006000000}"/>
    <dataValidation type="whole" operator="greaterThanOrEqual" allowBlank="1" showInputMessage="1" error="Enter a valid number of months" sqref="N31:N40" xr:uid="{00000000-0002-0000-0800-000007000000}">
      <formula1>0</formula1>
    </dataValidation>
    <dataValidation type="custom" allowBlank="1" showInputMessage="1" showErrorMessage="1" sqref="R11" xr:uid="{00000000-0002-0000-0800-000008000000}">
      <formula1>UPPER(R11)</formula1>
    </dataValidation>
    <dataValidation type="custom" allowBlank="1" showInputMessage="1" showErrorMessage="1" error="Enter in a Monthly Debt Service amount or N/A, if not applicable" sqref="J8:J22" xr:uid="{00000000-0002-0000-0800-000009000000}">
      <formula1>OR(AND(ISNUMBER(J8),J8&gt;0),EXACT(J8,"N/A"),EXACT(J8,"n/A"),EXACT(J8,"N/a"),EXACT(J8,"n/a"))</formula1>
    </dataValidation>
    <dataValidation allowBlank="1" showInputMessage="1" showErrorMessage="1" promptTitle="Explanation" prompt="Enter an explanation for any values that may need more detail. More detail is needed if a cost is lower or higher than normal, or if it is outside the maximum limits designated by FHLB or other funding source the project may be using (i.e. LIHTC)." sqref="A47" xr:uid="{00000000-0002-0000-0800-00000A000000}"/>
    <dataValidation type="decimal" allowBlank="1" showInputMessage="1" showErrorMessage="1" error="Please enter a valid number of months" sqref="G8:H9 G12:G22" xr:uid="{00000000-0002-0000-0800-00000B000000}">
      <formula1>0</formula1>
      <formula2>10000</formula2>
    </dataValidation>
    <dataValidation type="whole" operator="lessThanOrEqual" allowBlank="1" showInputMessage="1" showErrorMessage="1" errorTitle="AHP Amount Exceeds Guidelines" error="Please enter a value less than or equal to $1,000,000." promptTitle="Amount" sqref="D8:D9" xr:uid="{00000000-0002-0000-0800-00000C000000}">
      <formula1>1000000</formula1>
    </dataValidation>
    <dataValidation type="whole" operator="greaterThanOrEqual" allowBlank="1" showErrorMessage="1" errorTitle="Loan Fees" error="Enter the Loan Fee Amount as a whole number." promptTitle="Loan Fees" prompt="Enter the fees associated with each loan." sqref="H10:H22" xr:uid="{00000000-0002-0000-0800-00000D000000}">
      <formula1>0</formula1>
    </dataValidation>
    <dataValidation type="list" allowBlank="1" showInputMessage="1" showErrorMessage="1" sqref="I8:I22" xr:uid="{00000000-0002-0000-0800-00000E000000}">
      <formula1>"P&amp;I Payments,Interest Only,Deferred,Cash Flow Payments"</formula1>
    </dataValidation>
    <dataValidation allowBlank="1" showInputMessage="1" showErrorMessage="1" prompt="Enter Lender Name" sqref="I31:J31 B29 B10" xr:uid="{00000000-0002-0000-0800-00000F000000}"/>
    <dataValidation type="decimal" allowBlank="1" showInputMessage="1" showErrorMessage="1" error="Please enter in a loan dollar amount" promptTitle="Amount" prompt="Should match supporting documentation._x000a_" sqref="D10" xr:uid="{6658D0F1-30AD-4394-A043-566038C294F2}">
      <formula1>0</formula1>
      <formula2>1000000000</formula2>
    </dataValidation>
    <dataValidation type="decimal" allowBlank="1" showErrorMessage="1" error="Please enter in a loan dollar amount" promptTitle="Amount" prompt="Should match supporting documentation._x000a_Include loan interest and fees on development budget." sqref="D21" xr:uid="{21D4109A-342C-4813-AA4E-1D69A2E8756F}">
      <formula1>0</formula1>
      <formula2>1000000000</formula2>
    </dataValidation>
    <dataValidation type="list" allowBlank="1" showInputMessage="1" showErrorMessage="1" promptTitle="Entering a loan" prompt="If you choose &quot;Loan&quot;, make sure you enter the Loan Fee amount on the Development Budget Page." sqref="C10:C13 C29:C40" xr:uid="{6BCE6A75-E6F7-4C6A-BAB5-D75C768B8343}">
      <formula1>"Loan, Grant, Equity"</formula1>
    </dataValidation>
    <dataValidation type="list" allowBlank="1" showInputMessage="1" showErrorMessage="1" promptTitle="Entering a loan" prompt="If you choose &quot;Loan&quot;, make sure you enter the Loan Fee  amount on the Development Budget Page." sqref="C14:C22" xr:uid="{BE8C51C4-FDB9-4CA8-8CFD-E71664AFE695}">
      <formula1>"Loan, Grant, Equity"</formula1>
    </dataValidation>
  </dataValidations>
  <printOptions horizontalCentered="1" verticalCentered="1"/>
  <pageMargins left="0.7" right="0.7" top="0.75" bottom="0.75" header="0.3" footer="0.3"/>
  <pageSetup scale="53" orientation="landscape" r:id="rId2"/>
  <headerFooter>
    <oddHeader>&amp;C&amp;"Arial,Bold"&amp;11FHLBank Topeka - Affordable Housing Program 
&amp;A&amp;R&amp;D</oddHeader>
  </headerFooter>
  <ignoredErrors>
    <ignoredError sqref="F29:F40" unlockedFormula="1"/>
    <ignoredError sqref="L8:O22 D6 J43:J45" evalError="1"/>
  </ignoredErrors>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5">
    <tabColor theme="5" tint="0.59999389629810485"/>
  </sheetPr>
  <dimension ref="A1:Y68"/>
  <sheetViews>
    <sheetView showGridLines="0" zoomScaleNormal="100" zoomScaleSheetLayoutView="80" workbookViewId="0">
      <selection activeCell="E5" sqref="E5"/>
    </sheetView>
  </sheetViews>
  <sheetFormatPr defaultColWidth="7.85546875" defaultRowHeight="11.25" x14ac:dyDescent="0.2"/>
  <cols>
    <col min="1" max="1" width="14" style="322" customWidth="1"/>
    <col min="2" max="2" width="9.140625" style="322" customWidth="1"/>
    <col min="3" max="3" width="11.5703125" style="322" customWidth="1"/>
    <col min="4" max="4" width="10.28515625" style="322" customWidth="1"/>
    <col min="5" max="19" width="10.7109375" style="322" customWidth="1"/>
    <col min="20" max="20" width="8.42578125" style="322" customWidth="1"/>
    <col min="21" max="21" width="8" style="322" customWidth="1"/>
    <col min="22" max="22" width="10.140625" style="322" hidden="1" customWidth="1"/>
    <col min="23" max="23" width="15.42578125" style="322" hidden="1" customWidth="1"/>
    <col min="24" max="24" width="7.85546875" style="322"/>
    <col min="25" max="25" width="9.28515625" style="322" bestFit="1" customWidth="1"/>
    <col min="26" max="16384" width="7.85546875" style="322"/>
  </cols>
  <sheetData>
    <row r="1" spans="1:23" x14ac:dyDescent="0.2">
      <c r="A1" s="320" t="s">
        <v>71</v>
      </c>
      <c r="B1" s="320"/>
      <c r="C1" s="320"/>
      <c r="D1" s="320"/>
      <c r="E1" s="321"/>
    </row>
    <row r="2" spans="1:23" ht="12.75" customHeight="1" x14ac:dyDescent="0.2">
      <c r="A2" s="323" t="s">
        <v>726</v>
      </c>
      <c r="B2" s="323"/>
      <c r="C2" s="323"/>
      <c r="D2" s="323"/>
      <c r="E2" s="323"/>
      <c r="F2" s="323"/>
      <c r="G2" s="324"/>
      <c r="H2" s="905" t="s">
        <v>184</v>
      </c>
      <c r="I2" s="905"/>
      <c r="J2" s="905"/>
      <c r="K2" s="905"/>
      <c r="L2" s="905"/>
      <c r="M2" s="905"/>
      <c r="N2" s="905"/>
      <c r="O2" s="905"/>
      <c r="P2" s="905"/>
      <c r="Q2" s="905"/>
      <c r="R2" s="325"/>
      <c r="S2" s="325"/>
    </row>
    <row r="3" spans="1:23" ht="12.75" customHeight="1" x14ac:dyDescent="0.2">
      <c r="A3" s="326" t="s">
        <v>106</v>
      </c>
      <c r="B3" s="326"/>
      <c r="C3" s="326"/>
      <c r="D3" s="326"/>
      <c r="E3" s="326"/>
      <c r="F3" s="326"/>
      <c r="G3" s="326"/>
      <c r="H3" s="798"/>
      <c r="I3" s="799"/>
      <c r="J3" s="799"/>
      <c r="K3" s="905" t="s">
        <v>614</v>
      </c>
      <c r="L3" s="905"/>
      <c r="M3" s="905"/>
      <c r="N3" s="905"/>
      <c r="O3" s="44"/>
      <c r="P3" s="44"/>
      <c r="Q3" s="804" t="s">
        <v>1754</v>
      </c>
      <c r="R3" s="805" t="str">
        <f>IF(Date="","",Date)</f>
        <v/>
      </c>
      <c r="S3" s="325"/>
    </row>
    <row r="4" spans="1:23" ht="12" customHeight="1" x14ac:dyDescent="0.25">
      <c r="A4" s="327" t="s">
        <v>50</v>
      </c>
      <c r="B4" s="328"/>
      <c r="C4" s="328"/>
      <c r="E4" s="329">
        <f>'Rental Project Worksheet'!D60</f>
        <v>0</v>
      </c>
      <c r="G4" s="330"/>
      <c r="I4" s="1053" t="str">
        <f>IF('Project Information'!B6="","",'Project Information'!B6)</f>
        <v/>
      </c>
      <c r="J4" s="1053"/>
      <c r="K4" s="1053"/>
      <c r="L4" s="1053"/>
      <c r="M4" s="1053"/>
      <c r="N4" s="331"/>
      <c r="R4" s="332"/>
      <c r="T4" s="333"/>
      <c r="V4" s="334"/>
      <c r="W4" s="334"/>
    </row>
    <row r="5" spans="1:23" ht="12" customHeight="1" x14ac:dyDescent="0.25">
      <c r="D5" s="747" t="s">
        <v>1689</v>
      </c>
      <c r="E5" s="336"/>
      <c r="H5" s="337"/>
      <c r="I5" s="337"/>
      <c r="J5" s="335" t="s">
        <v>103</v>
      </c>
      <c r="K5" s="338"/>
      <c r="L5" s="331"/>
      <c r="M5" s="331"/>
      <c r="N5" s="1052" t="s">
        <v>725</v>
      </c>
      <c r="O5" s="1052"/>
      <c r="P5" s="1052"/>
      <c r="Q5" s="339" t="str">
        <f>IF('Project Information'!C17="","",IF(OR('Project Information'!C17="Yes",'Project Information'!C18="Yes",'Project Information'!C19="Yes"),"Yes","No"))</f>
        <v/>
      </c>
    </row>
    <row r="6" spans="1:23" s="337" customFormat="1" ht="12" customHeight="1" x14ac:dyDescent="0.2">
      <c r="D6" s="747" t="s">
        <v>1690</v>
      </c>
      <c r="E6" s="340"/>
      <c r="G6" s="800"/>
      <c r="H6" s="802"/>
      <c r="K6" s="335" t="s">
        <v>102</v>
      </c>
      <c r="L6" s="341">
        <v>0.02</v>
      </c>
      <c r="N6" s="335" t="s">
        <v>104</v>
      </c>
      <c r="O6" s="341">
        <v>0.03</v>
      </c>
      <c r="S6" s="342"/>
      <c r="U6" s="343"/>
    </row>
    <row r="7" spans="1:23" s="337" customFormat="1" ht="3.75" customHeight="1" x14ac:dyDescent="0.2">
      <c r="E7" s="344"/>
      <c r="F7" s="344"/>
      <c r="G7" s="344"/>
      <c r="H7" s="344"/>
      <c r="I7" s="344"/>
      <c r="J7" s="344"/>
      <c r="K7" s="344"/>
      <c r="L7" s="344"/>
      <c r="M7" s="344"/>
      <c r="N7" s="344"/>
      <c r="O7" s="344"/>
      <c r="P7" s="344"/>
      <c r="Q7" s="344"/>
      <c r="R7" s="344"/>
      <c r="S7" s="344"/>
      <c r="U7" s="343"/>
    </row>
    <row r="8" spans="1:23" ht="12.75" customHeight="1" x14ac:dyDescent="0.2">
      <c r="A8" s="1054"/>
      <c r="B8" s="1055"/>
      <c r="C8" s="345"/>
      <c r="D8" s="346" t="s">
        <v>635</v>
      </c>
      <c r="E8" s="346" t="s">
        <v>51</v>
      </c>
      <c r="F8" s="346" t="s">
        <v>52</v>
      </c>
      <c r="G8" s="346" t="s">
        <v>53</v>
      </c>
      <c r="H8" s="346" t="s">
        <v>54</v>
      </c>
      <c r="I8" s="346" t="s">
        <v>55</v>
      </c>
      <c r="J8" s="346" t="s">
        <v>56</v>
      </c>
      <c r="K8" s="346" t="s">
        <v>57</v>
      </c>
      <c r="L8" s="346" t="s">
        <v>58</v>
      </c>
      <c r="M8" s="346" t="s">
        <v>59</v>
      </c>
      <c r="N8" s="347" t="s">
        <v>60</v>
      </c>
      <c r="O8" s="347" t="s">
        <v>61</v>
      </c>
      <c r="P8" s="347" t="s">
        <v>62</v>
      </c>
      <c r="Q8" s="347" t="s">
        <v>63</v>
      </c>
      <c r="R8" s="347" t="s">
        <v>64</v>
      </c>
      <c r="S8" s="347" t="s">
        <v>65</v>
      </c>
      <c r="U8" s="343"/>
    </row>
    <row r="9" spans="1:23" ht="12.75" customHeight="1" x14ac:dyDescent="0.2">
      <c r="A9" s="348" t="s">
        <v>105</v>
      </c>
      <c r="B9" s="348"/>
      <c r="C9" s="348"/>
      <c r="D9" s="348"/>
      <c r="E9" s="348"/>
      <c r="F9" s="348"/>
      <c r="G9" s="348"/>
      <c r="H9" s="349"/>
      <c r="I9" s="350"/>
      <c r="J9" s="351"/>
      <c r="K9" s="351"/>
      <c r="L9" s="351"/>
      <c r="M9" s="351"/>
      <c r="N9" s="352"/>
      <c r="O9" s="352"/>
      <c r="P9" s="352"/>
      <c r="Q9" s="352"/>
      <c r="R9" s="352"/>
      <c r="S9" s="352"/>
      <c r="U9" s="343"/>
    </row>
    <row r="10" spans="1:23" ht="12.75" customHeight="1" x14ac:dyDescent="0.2">
      <c r="A10" s="1033" t="s">
        <v>180</v>
      </c>
      <c r="B10" s="1034"/>
      <c r="C10" s="1070"/>
      <c r="D10" s="353"/>
      <c r="E10" s="354">
        <f>'Rental Project Worksheet'!H60</f>
        <v>0</v>
      </c>
      <c r="F10" s="355">
        <f t="shared" ref="F10:S10" si="0">E10*(1+$L$6)</f>
        <v>0</v>
      </c>
      <c r="G10" s="355">
        <f t="shared" si="0"/>
        <v>0</v>
      </c>
      <c r="H10" s="356">
        <f t="shared" si="0"/>
        <v>0</v>
      </c>
      <c r="I10" s="356">
        <f t="shared" si="0"/>
        <v>0</v>
      </c>
      <c r="J10" s="356">
        <f t="shared" si="0"/>
        <v>0</v>
      </c>
      <c r="K10" s="356">
        <f t="shared" si="0"/>
        <v>0</v>
      </c>
      <c r="L10" s="356">
        <f t="shared" si="0"/>
        <v>0</v>
      </c>
      <c r="M10" s="356">
        <f t="shared" si="0"/>
        <v>0</v>
      </c>
      <c r="N10" s="355">
        <f t="shared" si="0"/>
        <v>0</v>
      </c>
      <c r="O10" s="355">
        <f t="shared" si="0"/>
        <v>0</v>
      </c>
      <c r="P10" s="355">
        <f t="shared" si="0"/>
        <v>0</v>
      </c>
      <c r="Q10" s="355">
        <f t="shared" si="0"/>
        <v>0</v>
      </c>
      <c r="R10" s="355">
        <f t="shared" si="0"/>
        <v>0</v>
      </c>
      <c r="S10" s="355">
        <f t="shared" si="0"/>
        <v>0</v>
      </c>
      <c r="U10" s="343"/>
    </row>
    <row r="11" spans="1:23" ht="12.75" customHeight="1" x14ac:dyDescent="0.2">
      <c r="A11" s="1039" t="s">
        <v>181</v>
      </c>
      <c r="B11" s="1040"/>
      <c r="C11" s="1035"/>
      <c r="D11" s="357"/>
      <c r="E11" s="358"/>
      <c r="F11" s="356">
        <f t="shared" ref="F11:S11" si="1">E11*(1+$L$6)</f>
        <v>0</v>
      </c>
      <c r="G11" s="356">
        <f t="shared" si="1"/>
        <v>0</v>
      </c>
      <c r="H11" s="356">
        <f t="shared" si="1"/>
        <v>0</v>
      </c>
      <c r="I11" s="356">
        <f t="shared" si="1"/>
        <v>0</v>
      </c>
      <c r="J11" s="356">
        <f t="shared" si="1"/>
        <v>0</v>
      </c>
      <c r="K11" s="356">
        <f t="shared" si="1"/>
        <v>0</v>
      </c>
      <c r="L11" s="356">
        <f t="shared" si="1"/>
        <v>0</v>
      </c>
      <c r="M11" s="356">
        <f t="shared" si="1"/>
        <v>0</v>
      </c>
      <c r="N11" s="356">
        <f t="shared" si="1"/>
        <v>0</v>
      </c>
      <c r="O11" s="356">
        <f t="shared" si="1"/>
        <v>0</v>
      </c>
      <c r="P11" s="356">
        <f t="shared" si="1"/>
        <v>0</v>
      </c>
      <c r="Q11" s="356">
        <f t="shared" si="1"/>
        <v>0</v>
      </c>
      <c r="R11" s="356">
        <f t="shared" si="1"/>
        <v>0</v>
      </c>
      <c r="S11" s="356">
        <f t="shared" si="1"/>
        <v>0</v>
      </c>
      <c r="V11" s="359">
        <f>E10+E13</f>
        <v>0</v>
      </c>
      <c r="W11" s="322" t="s">
        <v>1454</v>
      </c>
    </row>
    <row r="12" spans="1:23" ht="12.75" customHeight="1" x14ac:dyDescent="0.2">
      <c r="A12" s="1039" t="s">
        <v>182</v>
      </c>
      <c r="B12" s="1040"/>
      <c r="C12" s="1035"/>
      <c r="D12" s="360"/>
      <c r="E12" s="358"/>
      <c r="F12" s="361">
        <f t="shared" ref="F12:S12" si="2">E12*(1+$L$6)</f>
        <v>0</v>
      </c>
      <c r="G12" s="361">
        <f t="shared" si="2"/>
        <v>0</v>
      </c>
      <c r="H12" s="361">
        <f t="shared" si="2"/>
        <v>0</v>
      </c>
      <c r="I12" s="361">
        <f t="shared" si="2"/>
        <v>0</v>
      </c>
      <c r="J12" s="361">
        <f t="shared" si="2"/>
        <v>0</v>
      </c>
      <c r="K12" s="361">
        <f t="shared" si="2"/>
        <v>0</v>
      </c>
      <c r="L12" s="361">
        <f t="shared" si="2"/>
        <v>0</v>
      </c>
      <c r="M12" s="361">
        <f t="shared" si="2"/>
        <v>0</v>
      </c>
      <c r="N12" s="361">
        <f t="shared" si="2"/>
        <v>0</v>
      </c>
      <c r="O12" s="361">
        <f t="shared" si="2"/>
        <v>0</v>
      </c>
      <c r="P12" s="361">
        <f t="shared" si="2"/>
        <v>0</v>
      </c>
      <c r="Q12" s="361">
        <f t="shared" si="2"/>
        <v>0</v>
      </c>
      <c r="R12" s="361">
        <f t="shared" si="2"/>
        <v>0</v>
      </c>
      <c r="S12" s="361">
        <f t="shared" si="2"/>
        <v>0</v>
      </c>
    </row>
    <row r="13" spans="1:23" ht="12.75" customHeight="1" x14ac:dyDescent="0.2">
      <c r="A13" s="1056" t="s">
        <v>622</v>
      </c>
      <c r="B13" s="1057"/>
      <c r="C13" s="1058"/>
      <c r="D13" s="362"/>
      <c r="E13" s="358"/>
      <c r="F13" s="361">
        <f t="shared" ref="F13:S13" si="3">E13*(1+$L$6)</f>
        <v>0</v>
      </c>
      <c r="G13" s="361">
        <f t="shared" si="3"/>
        <v>0</v>
      </c>
      <c r="H13" s="361">
        <f t="shared" si="3"/>
        <v>0</v>
      </c>
      <c r="I13" s="361">
        <f t="shared" si="3"/>
        <v>0</v>
      </c>
      <c r="J13" s="361">
        <f t="shared" si="3"/>
        <v>0</v>
      </c>
      <c r="K13" s="361">
        <f t="shared" si="3"/>
        <v>0</v>
      </c>
      <c r="L13" s="361">
        <f t="shared" si="3"/>
        <v>0</v>
      </c>
      <c r="M13" s="361">
        <f t="shared" si="3"/>
        <v>0</v>
      </c>
      <c r="N13" s="361">
        <f t="shared" si="3"/>
        <v>0</v>
      </c>
      <c r="O13" s="361">
        <f t="shared" si="3"/>
        <v>0</v>
      </c>
      <c r="P13" s="361">
        <f t="shared" si="3"/>
        <v>0</v>
      </c>
      <c r="Q13" s="361">
        <f t="shared" si="3"/>
        <v>0</v>
      </c>
      <c r="R13" s="361">
        <f t="shared" si="3"/>
        <v>0</v>
      </c>
      <c r="S13" s="361">
        <f t="shared" si="3"/>
        <v>0</v>
      </c>
      <c r="T13" s="363" t="str">
        <f>IF(OR(AND(E13&lt;&gt;0,A13="D. Other Income:"),AND(E13&lt;&gt;0,A13="")),"Error:  Describe Source of Other Income","")</f>
        <v/>
      </c>
    </row>
    <row r="14" spans="1:23" ht="12.75" customHeight="1" x14ac:dyDescent="0.2">
      <c r="A14" s="364" t="s">
        <v>1452</v>
      </c>
      <c r="B14" s="1031"/>
      <c r="C14" s="1032"/>
      <c r="D14" s="362"/>
      <c r="E14" s="358"/>
      <c r="F14" s="361">
        <f t="shared" ref="F14:S15" si="4">E14*(1+$L$6)</f>
        <v>0</v>
      </c>
      <c r="G14" s="361">
        <f t="shared" si="4"/>
        <v>0</v>
      </c>
      <c r="H14" s="361">
        <f t="shared" si="4"/>
        <v>0</v>
      </c>
      <c r="I14" s="361">
        <f t="shared" si="4"/>
        <v>0</v>
      </c>
      <c r="J14" s="361">
        <f t="shared" si="4"/>
        <v>0</v>
      </c>
      <c r="K14" s="361">
        <f t="shared" si="4"/>
        <v>0</v>
      </c>
      <c r="L14" s="361">
        <f t="shared" si="4"/>
        <v>0</v>
      </c>
      <c r="M14" s="361">
        <f t="shared" si="4"/>
        <v>0</v>
      </c>
      <c r="N14" s="361">
        <f t="shared" si="4"/>
        <v>0</v>
      </c>
      <c r="O14" s="361">
        <f t="shared" si="4"/>
        <v>0</v>
      </c>
      <c r="P14" s="361">
        <f t="shared" si="4"/>
        <v>0</v>
      </c>
      <c r="Q14" s="361">
        <f t="shared" si="4"/>
        <v>0</v>
      </c>
      <c r="R14" s="361">
        <f t="shared" si="4"/>
        <v>0</v>
      </c>
      <c r="S14" s="361">
        <f t="shared" si="4"/>
        <v>0</v>
      </c>
      <c r="T14" s="363" t="str">
        <f>IF(OR(AND(E14&lt;&gt;0,A14="E. Other Income:"),AND(E14&lt;&gt;0,A14="")),"Error:  Describe Source of Other Income","")</f>
        <v/>
      </c>
    </row>
    <row r="15" spans="1:23" ht="12.75" customHeight="1" x14ac:dyDescent="0.2">
      <c r="A15" s="364" t="s">
        <v>1453</v>
      </c>
      <c r="B15" s="1031"/>
      <c r="C15" s="1032"/>
      <c r="D15" s="365"/>
      <c r="E15" s="358"/>
      <c r="F15" s="361">
        <f t="shared" si="4"/>
        <v>0</v>
      </c>
      <c r="G15" s="361">
        <f t="shared" si="4"/>
        <v>0</v>
      </c>
      <c r="H15" s="361">
        <f t="shared" si="4"/>
        <v>0</v>
      </c>
      <c r="I15" s="361">
        <f t="shared" si="4"/>
        <v>0</v>
      </c>
      <c r="J15" s="361">
        <f t="shared" si="4"/>
        <v>0</v>
      </c>
      <c r="K15" s="361">
        <f t="shared" si="4"/>
        <v>0</v>
      </c>
      <c r="L15" s="361">
        <f t="shared" si="4"/>
        <v>0</v>
      </c>
      <c r="M15" s="361">
        <f t="shared" si="4"/>
        <v>0</v>
      </c>
      <c r="N15" s="361">
        <f t="shared" si="4"/>
        <v>0</v>
      </c>
      <c r="O15" s="361">
        <f t="shared" si="4"/>
        <v>0</v>
      </c>
      <c r="P15" s="361">
        <f t="shared" si="4"/>
        <v>0</v>
      </c>
      <c r="Q15" s="361">
        <f t="shared" si="4"/>
        <v>0</v>
      </c>
      <c r="R15" s="361">
        <f t="shared" si="4"/>
        <v>0</v>
      </c>
      <c r="S15" s="361">
        <f t="shared" ref="S15" si="5">R15*(1+$L$6)</f>
        <v>0</v>
      </c>
      <c r="T15" s="363"/>
    </row>
    <row r="16" spans="1:23" ht="12.75" customHeight="1" x14ac:dyDescent="0.2">
      <c r="A16" s="1039" t="s">
        <v>623</v>
      </c>
      <c r="B16" s="1040"/>
      <c r="C16" s="1040"/>
      <c r="D16" s="366"/>
      <c r="E16" s="367">
        <f>ROUND(SUM(E10:E15),0)</f>
        <v>0</v>
      </c>
      <c r="F16" s="367">
        <f>ROUND(SUM(F10:F15),0)</f>
        <v>0</v>
      </c>
      <c r="G16" s="367">
        <f t="shared" ref="G16:S16" si="6">ROUND(SUM(G10:G15),0)</f>
        <v>0</v>
      </c>
      <c r="H16" s="367">
        <f t="shared" si="6"/>
        <v>0</v>
      </c>
      <c r="I16" s="367">
        <f t="shared" si="6"/>
        <v>0</v>
      </c>
      <c r="J16" s="367">
        <f t="shared" si="6"/>
        <v>0</v>
      </c>
      <c r="K16" s="367">
        <f t="shared" si="6"/>
        <v>0</v>
      </c>
      <c r="L16" s="367">
        <f t="shared" si="6"/>
        <v>0</v>
      </c>
      <c r="M16" s="367">
        <f t="shared" si="6"/>
        <v>0</v>
      </c>
      <c r="N16" s="367">
        <f t="shared" si="6"/>
        <v>0</v>
      </c>
      <c r="O16" s="367">
        <f t="shared" si="6"/>
        <v>0</v>
      </c>
      <c r="P16" s="367">
        <f t="shared" si="6"/>
        <v>0</v>
      </c>
      <c r="Q16" s="367">
        <f t="shared" si="6"/>
        <v>0</v>
      </c>
      <c r="R16" s="367">
        <f t="shared" si="6"/>
        <v>0</v>
      </c>
      <c r="S16" s="367">
        <f t="shared" si="6"/>
        <v>0</v>
      </c>
      <c r="T16" s="363" t="str">
        <f>IF(AND(E16&lt;&gt;0,A16="F. Other Income:"),"Describe Other Source of Income","")</f>
        <v/>
      </c>
    </row>
    <row r="17" spans="1:20" ht="12.75" customHeight="1" x14ac:dyDescent="0.2">
      <c r="A17" s="1039" t="s">
        <v>624</v>
      </c>
      <c r="B17" s="1040"/>
      <c r="C17" s="1035"/>
      <c r="D17" s="365"/>
      <c r="E17" s="368">
        <f>-ROUND((E10+E13)*$E$5,0)</f>
        <v>0</v>
      </c>
      <c r="F17" s="368">
        <f>-ROUND((F10+F13)*$E$6,0)</f>
        <v>0</v>
      </c>
      <c r="G17" s="368">
        <f t="shared" ref="G17:S17" si="7">-ROUND((G10+G13)*$E$6,0)</f>
        <v>0</v>
      </c>
      <c r="H17" s="368">
        <f t="shared" si="7"/>
        <v>0</v>
      </c>
      <c r="I17" s="368">
        <f t="shared" si="7"/>
        <v>0</v>
      </c>
      <c r="J17" s="368">
        <f t="shared" si="7"/>
        <v>0</v>
      </c>
      <c r="K17" s="368">
        <f t="shared" si="7"/>
        <v>0</v>
      </c>
      <c r="L17" s="368">
        <f t="shared" si="7"/>
        <v>0</v>
      </c>
      <c r="M17" s="368">
        <f t="shared" si="7"/>
        <v>0</v>
      </c>
      <c r="N17" s="368">
        <f t="shared" si="7"/>
        <v>0</v>
      </c>
      <c r="O17" s="368">
        <f t="shared" si="7"/>
        <v>0</v>
      </c>
      <c r="P17" s="368">
        <f t="shared" si="7"/>
        <v>0</v>
      </c>
      <c r="Q17" s="368">
        <f t="shared" si="7"/>
        <v>0</v>
      </c>
      <c r="R17" s="368">
        <f t="shared" si="7"/>
        <v>0</v>
      </c>
      <c r="S17" s="368">
        <f t="shared" si="7"/>
        <v>0</v>
      </c>
    </row>
    <row r="18" spans="1:20" ht="12.75" customHeight="1" x14ac:dyDescent="0.2">
      <c r="A18" s="1068" t="s">
        <v>634</v>
      </c>
      <c r="B18" s="1069"/>
      <c r="C18" s="1071"/>
      <c r="D18" s="369"/>
      <c r="E18" s="370">
        <f>E16+E17</f>
        <v>0</v>
      </c>
      <c r="F18" s="368">
        <f t="shared" ref="F18:S18" si="8">F16+F17</f>
        <v>0</v>
      </c>
      <c r="G18" s="368">
        <f t="shared" si="8"/>
        <v>0</v>
      </c>
      <c r="H18" s="368">
        <f t="shared" si="8"/>
        <v>0</v>
      </c>
      <c r="I18" s="368">
        <f t="shared" si="8"/>
        <v>0</v>
      </c>
      <c r="J18" s="368">
        <f t="shared" si="8"/>
        <v>0</v>
      </c>
      <c r="K18" s="368">
        <f t="shared" si="8"/>
        <v>0</v>
      </c>
      <c r="L18" s="368">
        <f t="shared" si="8"/>
        <v>0</v>
      </c>
      <c r="M18" s="368">
        <f t="shared" si="8"/>
        <v>0</v>
      </c>
      <c r="N18" s="368">
        <f t="shared" si="8"/>
        <v>0</v>
      </c>
      <c r="O18" s="368">
        <f t="shared" si="8"/>
        <v>0</v>
      </c>
      <c r="P18" s="368">
        <f t="shared" si="8"/>
        <v>0</v>
      </c>
      <c r="Q18" s="368">
        <f t="shared" si="8"/>
        <v>0</v>
      </c>
      <c r="R18" s="368">
        <f t="shared" si="8"/>
        <v>0</v>
      </c>
      <c r="S18" s="368">
        <f t="shared" si="8"/>
        <v>0</v>
      </c>
    </row>
    <row r="19" spans="1:20" ht="12.75" customHeight="1" x14ac:dyDescent="0.2">
      <c r="A19" s="1037" t="s">
        <v>162</v>
      </c>
      <c r="B19" s="1037"/>
      <c r="C19" s="1037"/>
      <c r="D19" s="352"/>
      <c r="E19" s="352"/>
      <c r="F19" s="371"/>
      <c r="G19" s="371"/>
      <c r="H19" s="371"/>
      <c r="I19" s="371"/>
      <c r="J19" s="371"/>
      <c r="K19" s="371"/>
      <c r="L19" s="371"/>
      <c r="M19" s="371"/>
      <c r="N19" s="371"/>
      <c r="O19" s="371"/>
      <c r="P19" s="371"/>
      <c r="Q19" s="371"/>
      <c r="R19" s="371"/>
      <c r="S19" s="371"/>
    </row>
    <row r="20" spans="1:20" ht="12.75" customHeight="1" x14ac:dyDescent="0.2">
      <c r="A20" s="372" t="s">
        <v>163</v>
      </c>
      <c r="B20" s="373"/>
      <c r="C20" s="374">
        <f>IF(E20=0,0,IF((E10+E13)&gt;(E14+E15),IF(E20=0,0,E20/(E10+E13+E17)),(E20/(E10+E13+E14+E15+E17))))</f>
        <v>0</v>
      </c>
      <c r="D20" s="375" t="str">
        <f t="shared" ref="D20:D43" si="9">IF(OR(E20=0,E20=""),"",(E20/12)/$E$4)</f>
        <v/>
      </c>
      <c r="E20" s="376"/>
      <c r="F20" s="368">
        <f>IF((F10+F13)&gt;(F14+F15),(F10+F13+F17)*$C$20,(F10+F13+F14+F15+F17)*$C$20)</f>
        <v>0</v>
      </c>
      <c r="G20" s="368">
        <f t="shared" ref="G20:S20" si="10">IF((G10+G13)&gt;(G14+G15),(G10+G13+G17)*$C$20,(G10+G13+G14+G15+G17)*$C$20)</f>
        <v>0</v>
      </c>
      <c r="H20" s="368">
        <f t="shared" si="10"/>
        <v>0</v>
      </c>
      <c r="I20" s="368">
        <f t="shared" si="10"/>
        <v>0</v>
      </c>
      <c r="J20" s="368">
        <f t="shared" si="10"/>
        <v>0</v>
      </c>
      <c r="K20" s="368">
        <f t="shared" si="10"/>
        <v>0</v>
      </c>
      <c r="L20" s="368">
        <f t="shared" si="10"/>
        <v>0</v>
      </c>
      <c r="M20" s="368">
        <f t="shared" si="10"/>
        <v>0</v>
      </c>
      <c r="N20" s="368">
        <f t="shared" si="10"/>
        <v>0</v>
      </c>
      <c r="O20" s="368">
        <f t="shared" si="10"/>
        <v>0</v>
      </c>
      <c r="P20" s="368">
        <f t="shared" si="10"/>
        <v>0</v>
      </c>
      <c r="Q20" s="368">
        <f t="shared" si="10"/>
        <v>0</v>
      </c>
      <c r="R20" s="368">
        <f t="shared" si="10"/>
        <v>0</v>
      </c>
      <c r="S20" s="368">
        <f t="shared" si="10"/>
        <v>0</v>
      </c>
      <c r="T20" s="363"/>
    </row>
    <row r="21" spans="1:20" ht="12.75" customHeight="1" x14ac:dyDescent="0.2">
      <c r="A21" s="1065" t="s">
        <v>164</v>
      </c>
      <c r="B21" s="1066"/>
      <c r="C21" s="1067"/>
      <c r="D21" s="377" t="str">
        <f t="shared" si="9"/>
        <v/>
      </c>
      <c r="E21" s="376"/>
      <c r="F21" s="368">
        <f t="shared" ref="F21:S21" si="11">E21*(1+$O$6)</f>
        <v>0</v>
      </c>
      <c r="G21" s="368">
        <f t="shared" si="11"/>
        <v>0</v>
      </c>
      <c r="H21" s="368">
        <f t="shared" si="11"/>
        <v>0</v>
      </c>
      <c r="I21" s="368">
        <f t="shared" si="11"/>
        <v>0</v>
      </c>
      <c r="J21" s="368">
        <f t="shared" si="11"/>
        <v>0</v>
      </c>
      <c r="K21" s="368">
        <f t="shared" si="11"/>
        <v>0</v>
      </c>
      <c r="L21" s="368">
        <f t="shared" si="11"/>
        <v>0</v>
      </c>
      <c r="M21" s="368">
        <f t="shared" si="11"/>
        <v>0</v>
      </c>
      <c r="N21" s="368">
        <f t="shared" si="11"/>
        <v>0</v>
      </c>
      <c r="O21" s="368">
        <f t="shared" si="11"/>
        <v>0</v>
      </c>
      <c r="P21" s="368">
        <f t="shared" si="11"/>
        <v>0</v>
      </c>
      <c r="Q21" s="368">
        <f t="shared" si="11"/>
        <v>0</v>
      </c>
      <c r="R21" s="368">
        <f t="shared" si="11"/>
        <v>0</v>
      </c>
      <c r="S21" s="368">
        <f t="shared" si="11"/>
        <v>0</v>
      </c>
    </row>
    <row r="22" spans="1:20" ht="12.75" customHeight="1" x14ac:dyDescent="0.2">
      <c r="A22" s="1039" t="s">
        <v>165</v>
      </c>
      <c r="B22" s="1040"/>
      <c r="C22" s="1035"/>
      <c r="D22" s="377" t="str">
        <f t="shared" si="9"/>
        <v/>
      </c>
      <c r="E22" s="376"/>
      <c r="F22" s="368">
        <f t="shared" ref="F22:S22" si="12">E22*(1+$O$6)</f>
        <v>0</v>
      </c>
      <c r="G22" s="368">
        <f t="shared" si="12"/>
        <v>0</v>
      </c>
      <c r="H22" s="368">
        <f t="shared" si="12"/>
        <v>0</v>
      </c>
      <c r="I22" s="368">
        <f t="shared" si="12"/>
        <v>0</v>
      </c>
      <c r="J22" s="368">
        <f t="shared" si="12"/>
        <v>0</v>
      </c>
      <c r="K22" s="368">
        <f t="shared" si="12"/>
        <v>0</v>
      </c>
      <c r="L22" s="368">
        <f t="shared" si="12"/>
        <v>0</v>
      </c>
      <c r="M22" s="368">
        <f t="shared" si="12"/>
        <v>0</v>
      </c>
      <c r="N22" s="368">
        <f t="shared" si="12"/>
        <v>0</v>
      </c>
      <c r="O22" s="368">
        <f t="shared" si="12"/>
        <v>0</v>
      </c>
      <c r="P22" s="368">
        <f t="shared" si="12"/>
        <v>0</v>
      </c>
      <c r="Q22" s="368">
        <f t="shared" si="12"/>
        <v>0</v>
      </c>
      <c r="R22" s="368">
        <f t="shared" si="12"/>
        <v>0</v>
      </c>
      <c r="S22" s="368">
        <f t="shared" si="12"/>
        <v>0</v>
      </c>
    </row>
    <row r="23" spans="1:20" ht="12.75" customHeight="1" x14ac:dyDescent="0.2">
      <c r="A23" s="1039" t="s">
        <v>166</v>
      </c>
      <c r="B23" s="1040"/>
      <c r="C23" s="1035"/>
      <c r="D23" s="377" t="str">
        <f t="shared" si="9"/>
        <v/>
      </c>
      <c r="E23" s="376"/>
      <c r="F23" s="368">
        <f t="shared" ref="F23:S23" si="13">E23*(1+$O$6)</f>
        <v>0</v>
      </c>
      <c r="G23" s="368">
        <f t="shared" si="13"/>
        <v>0</v>
      </c>
      <c r="H23" s="368">
        <f t="shared" si="13"/>
        <v>0</v>
      </c>
      <c r="I23" s="368">
        <f t="shared" si="13"/>
        <v>0</v>
      </c>
      <c r="J23" s="368">
        <f t="shared" si="13"/>
        <v>0</v>
      </c>
      <c r="K23" s="368">
        <f t="shared" si="13"/>
        <v>0</v>
      </c>
      <c r="L23" s="368">
        <f t="shared" si="13"/>
        <v>0</v>
      </c>
      <c r="M23" s="368">
        <f t="shared" si="13"/>
        <v>0</v>
      </c>
      <c r="N23" s="368">
        <f t="shared" si="13"/>
        <v>0</v>
      </c>
      <c r="O23" s="368">
        <f t="shared" si="13"/>
        <v>0</v>
      </c>
      <c r="P23" s="368">
        <f t="shared" si="13"/>
        <v>0</v>
      </c>
      <c r="Q23" s="368">
        <f t="shared" si="13"/>
        <v>0</v>
      </c>
      <c r="R23" s="368">
        <f t="shared" si="13"/>
        <v>0</v>
      </c>
      <c r="S23" s="368">
        <f t="shared" si="13"/>
        <v>0</v>
      </c>
    </row>
    <row r="24" spans="1:20" ht="12.75" customHeight="1" x14ac:dyDescent="0.2">
      <c r="A24" s="1039" t="s">
        <v>167</v>
      </c>
      <c r="B24" s="1040"/>
      <c r="C24" s="1035"/>
      <c r="D24" s="377" t="str">
        <f t="shared" si="9"/>
        <v/>
      </c>
      <c r="E24" s="376"/>
      <c r="F24" s="368">
        <f t="shared" ref="F24:S24" si="14">E24*(1+$O$6)</f>
        <v>0</v>
      </c>
      <c r="G24" s="368">
        <f t="shared" si="14"/>
        <v>0</v>
      </c>
      <c r="H24" s="368">
        <f t="shared" si="14"/>
        <v>0</v>
      </c>
      <c r="I24" s="368">
        <f t="shared" si="14"/>
        <v>0</v>
      </c>
      <c r="J24" s="368">
        <f t="shared" si="14"/>
        <v>0</v>
      </c>
      <c r="K24" s="368">
        <f t="shared" si="14"/>
        <v>0</v>
      </c>
      <c r="L24" s="368">
        <f t="shared" si="14"/>
        <v>0</v>
      </c>
      <c r="M24" s="368">
        <f t="shared" si="14"/>
        <v>0</v>
      </c>
      <c r="N24" s="368">
        <f t="shared" si="14"/>
        <v>0</v>
      </c>
      <c r="O24" s="368">
        <f t="shared" si="14"/>
        <v>0</v>
      </c>
      <c r="P24" s="368">
        <f t="shared" si="14"/>
        <v>0</v>
      </c>
      <c r="Q24" s="368">
        <f t="shared" si="14"/>
        <v>0</v>
      </c>
      <c r="R24" s="368">
        <f t="shared" si="14"/>
        <v>0</v>
      </c>
      <c r="S24" s="368">
        <f t="shared" si="14"/>
        <v>0</v>
      </c>
    </row>
    <row r="25" spans="1:20" ht="12.75" customHeight="1" x14ac:dyDescent="0.2">
      <c r="A25" s="1039" t="s">
        <v>168</v>
      </c>
      <c r="B25" s="1040"/>
      <c r="C25" s="1035"/>
      <c r="D25" s="377" t="str">
        <f t="shared" si="9"/>
        <v/>
      </c>
      <c r="E25" s="376"/>
      <c r="F25" s="368">
        <f t="shared" ref="F25:S25" si="15">E25*(1+$O$6)</f>
        <v>0</v>
      </c>
      <c r="G25" s="368">
        <f t="shared" si="15"/>
        <v>0</v>
      </c>
      <c r="H25" s="368">
        <f t="shared" si="15"/>
        <v>0</v>
      </c>
      <c r="I25" s="368">
        <f t="shared" si="15"/>
        <v>0</v>
      </c>
      <c r="J25" s="368">
        <f t="shared" si="15"/>
        <v>0</v>
      </c>
      <c r="K25" s="368">
        <f t="shared" si="15"/>
        <v>0</v>
      </c>
      <c r="L25" s="368">
        <f t="shared" si="15"/>
        <v>0</v>
      </c>
      <c r="M25" s="368">
        <f t="shared" si="15"/>
        <v>0</v>
      </c>
      <c r="N25" s="368">
        <f t="shared" si="15"/>
        <v>0</v>
      </c>
      <c r="O25" s="368">
        <f t="shared" si="15"/>
        <v>0</v>
      </c>
      <c r="P25" s="368">
        <f t="shared" si="15"/>
        <v>0</v>
      </c>
      <c r="Q25" s="368">
        <f t="shared" si="15"/>
        <v>0</v>
      </c>
      <c r="R25" s="368">
        <f t="shared" si="15"/>
        <v>0</v>
      </c>
      <c r="S25" s="368">
        <f t="shared" si="15"/>
        <v>0</v>
      </c>
    </row>
    <row r="26" spans="1:20" ht="12.75" customHeight="1" x14ac:dyDescent="0.2">
      <c r="A26" s="1039" t="s">
        <v>169</v>
      </c>
      <c r="B26" s="1040"/>
      <c r="C26" s="1035"/>
      <c r="D26" s="377" t="str">
        <f t="shared" si="9"/>
        <v/>
      </c>
      <c r="E26" s="376"/>
      <c r="F26" s="368">
        <f t="shared" ref="F26:S26" si="16">E26*(1+$O$6)</f>
        <v>0</v>
      </c>
      <c r="G26" s="368">
        <f t="shared" si="16"/>
        <v>0</v>
      </c>
      <c r="H26" s="368">
        <f t="shared" si="16"/>
        <v>0</v>
      </c>
      <c r="I26" s="368">
        <f t="shared" si="16"/>
        <v>0</v>
      </c>
      <c r="J26" s="368">
        <f t="shared" si="16"/>
        <v>0</v>
      </c>
      <c r="K26" s="368">
        <f t="shared" si="16"/>
        <v>0</v>
      </c>
      <c r="L26" s="368">
        <f t="shared" si="16"/>
        <v>0</v>
      </c>
      <c r="M26" s="368">
        <f t="shared" si="16"/>
        <v>0</v>
      </c>
      <c r="N26" s="368">
        <f t="shared" si="16"/>
        <v>0</v>
      </c>
      <c r="O26" s="368">
        <f t="shared" si="16"/>
        <v>0</v>
      </c>
      <c r="P26" s="368">
        <f t="shared" si="16"/>
        <v>0</v>
      </c>
      <c r="Q26" s="368">
        <f t="shared" si="16"/>
        <v>0</v>
      </c>
      <c r="R26" s="368">
        <f t="shared" si="16"/>
        <v>0</v>
      </c>
      <c r="S26" s="368">
        <f t="shared" si="16"/>
        <v>0</v>
      </c>
    </row>
    <row r="27" spans="1:20" ht="12.75" customHeight="1" x14ac:dyDescent="0.2">
      <c r="A27" s="1039" t="s">
        <v>170</v>
      </c>
      <c r="B27" s="1040"/>
      <c r="C27" s="1035"/>
      <c r="D27" s="377" t="str">
        <f t="shared" si="9"/>
        <v/>
      </c>
      <c r="E27" s="376"/>
      <c r="F27" s="368">
        <f t="shared" ref="F27:S27" si="17">E27*(1+$O$6)</f>
        <v>0</v>
      </c>
      <c r="G27" s="368">
        <f t="shared" si="17"/>
        <v>0</v>
      </c>
      <c r="H27" s="368">
        <f t="shared" si="17"/>
        <v>0</v>
      </c>
      <c r="I27" s="368">
        <f t="shared" si="17"/>
        <v>0</v>
      </c>
      <c r="J27" s="368">
        <f t="shared" si="17"/>
        <v>0</v>
      </c>
      <c r="K27" s="368">
        <f t="shared" si="17"/>
        <v>0</v>
      </c>
      <c r="L27" s="368">
        <f t="shared" si="17"/>
        <v>0</v>
      </c>
      <c r="M27" s="368">
        <f t="shared" si="17"/>
        <v>0</v>
      </c>
      <c r="N27" s="368">
        <f t="shared" si="17"/>
        <v>0</v>
      </c>
      <c r="O27" s="368">
        <f t="shared" si="17"/>
        <v>0</v>
      </c>
      <c r="P27" s="368">
        <f t="shared" si="17"/>
        <v>0</v>
      </c>
      <c r="Q27" s="368">
        <f t="shared" si="17"/>
        <v>0</v>
      </c>
      <c r="R27" s="368">
        <f t="shared" si="17"/>
        <v>0</v>
      </c>
      <c r="S27" s="368">
        <f t="shared" si="17"/>
        <v>0</v>
      </c>
    </row>
    <row r="28" spans="1:20" ht="12.75" customHeight="1" x14ac:dyDescent="0.2">
      <c r="A28" s="1039" t="s">
        <v>626</v>
      </c>
      <c r="B28" s="1040"/>
      <c r="C28" s="1035"/>
      <c r="D28" s="377" t="str">
        <f t="shared" si="9"/>
        <v/>
      </c>
      <c r="E28" s="376"/>
      <c r="F28" s="368">
        <f t="shared" ref="F28:S28" si="18">E28*(1+$O$6)</f>
        <v>0</v>
      </c>
      <c r="G28" s="368">
        <f t="shared" si="18"/>
        <v>0</v>
      </c>
      <c r="H28" s="368">
        <f t="shared" si="18"/>
        <v>0</v>
      </c>
      <c r="I28" s="368">
        <f t="shared" si="18"/>
        <v>0</v>
      </c>
      <c r="J28" s="368">
        <f t="shared" si="18"/>
        <v>0</v>
      </c>
      <c r="K28" s="368">
        <f t="shared" si="18"/>
        <v>0</v>
      </c>
      <c r="L28" s="368">
        <f t="shared" si="18"/>
        <v>0</v>
      </c>
      <c r="M28" s="368">
        <f t="shared" si="18"/>
        <v>0</v>
      </c>
      <c r="N28" s="368">
        <f t="shared" si="18"/>
        <v>0</v>
      </c>
      <c r="O28" s="368">
        <f t="shared" si="18"/>
        <v>0</v>
      </c>
      <c r="P28" s="368">
        <f t="shared" si="18"/>
        <v>0</v>
      </c>
      <c r="Q28" s="368">
        <f t="shared" si="18"/>
        <v>0</v>
      </c>
      <c r="R28" s="368">
        <f t="shared" si="18"/>
        <v>0</v>
      </c>
      <c r="S28" s="368">
        <f t="shared" si="18"/>
        <v>0</v>
      </c>
    </row>
    <row r="29" spans="1:20" ht="12.75" customHeight="1" x14ac:dyDescent="0.2">
      <c r="A29" s="1056" t="s">
        <v>625</v>
      </c>
      <c r="B29" s="1057"/>
      <c r="C29" s="1058"/>
      <c r="D29" s="377" t="str">
        <f t="shared" si="9"/>
        <v/>
      </c>
      <c r="E29" s="376"/>
      <c r="F29" s="368">
        <f t="shared" ref="F29:S29" si="19">E29*(1+$O$6)</f>
        <v>0</v>
      </c>
      <c r="G29" s="368">
        <f t="shared" si="19"/>
        <v>0</v>
      </c>
      <c r="H29" s="368">
        <f t="shared" si="19"/>
        <v>0</v>
      </c>
      <c r="I29" s="368">
        <f t="shared" si="19"/>
        <v>0</v>
      </c>
      <c r="J29" s="368">
        <f t="shared" si="19"/>
        <v>0</v>
      </c>
      <c r="K29" s="368">
        <f t="shared" si="19"/>
        <v>0</v>
      </c>
      <c r="L29" s="368">
        <f t="shared" si="19"/>
        <v>0</v>
      </c>
      <c r="M29" s="368">
        <f t="shared" si="19"/>
        <v>0</v>
      </c>
      <c r="N29" s="368">
        <f t="shared" si="19"/>
        <v>0</v>
      </c>
      <c r="O29" s="368">
        <f t="shared" si="19"/>
        <v>0</v>
      </c>
      <c r="P29" s="368">
        <f t="shared" si="19"/>
        <v>0</v>
      </c>
      <c r="Q29" s="368">
        <f t="shared" si="19"/>
        <v>0</v>
      </c>
      <c r="R29" s="368">
        <f t="shared" si="19"/>
        <v>0</v>
      </c>
      <c r="S29" s="368">
        <f t="shared" si="19"/>
        <v>0</v>
      </c>
    </row>
    <row r="30" spans="1:20" ht="12.75" customHeight="1" x14ac:dyDescent="0.2">
      <c r="A30" s="1039" t="s">
        <v>171</v>
      </c>
      <c r="B30" s="1040"/>
      <c r="C30" s="1035"/>
      <c r="D30" s="377" t="str">
        <f t="shared" si="9"/>
        <v/>
      </c>
      <c r="E30" s="376"/>
      <c r="F30" s="368">
        <f t="shared" ref="F30:S30" si="20">E30*(1+$O$6)</f>
        <v>0</v>
      </c>
      <c r="G30" s="368">
        <f t="shared" si="20"/>
        <v>0</v>
      </c>
      <c r="H30" s="368">
        <f t="shared" si="20"/>
        <v>0</v>
      </c>
      <c r="I30" s="368">
        <f t="shared" si="20"/>
        <v>0</v>
      </c>
      <c r="J30" s="368">
        <f t="shared" si="20"/>
        <v>0</v>
      </c>
      <c r="K30" s="368">
        <f t="shared" si="20"/>
        <v>0</v>
      </c>
      <c r="L30" s="368">
        <f t="shared" si="20"/>
        <v>0</v>
      </c>
      <c r="M30" s="368">
        <f t="shared" si="20"/>
        <v>0</v>
      </c>
      <c r="N30" s="368">
        <f t="shared" si="20"/>
        <v>0</v>
      </c>
      <c r="O30" s="368">
        <f t="shared" si="20"/>
        <v>0</v>
      </c>
      <c r="P30" s="368">
        <f t="shared" si="20"/>
        <v>0</v>
      </c>
      <c r="Q30" s="368">
        <f t="shared" si="20"/>
        <v>0</v>
      </c>
      <c r="R30" s="368">
        <f t="shared" si="20"/>
        <v>0</v>
      </c>
      <c r="S30" s="368">
        <f t="shared" si="20"/>
        <v>0</v>
      </c>
    </row>
    <row r="31" spans="1:20" ht="12.75" customHeight="1" x14ac:dyDescent="0.2">
      <c r="A31" s="1039" t="s">
        <v>172</v>
      </c>
      <c r="B31" s="1040"/>
      <c r="C31" s="1035"/>
      <c r="D31" s="377" t="str">
        <f t="shared" si="9"/>
        <v/>
      </c>
      <c r="E31" s="376"/>
      <c r="F31" s="368">
        <f t="shared" ref="F31:S31" si="21">E31*(1+$O$6)</f>
        <v>0</v>
      </c>
      <c r="G31" s="368">
        <f t="shared" si="21"/>
        <v>0</v>
      </c>
      <c r="H31" s="368">
        <f t="shared" si="21"/>
        <v>0</v>
      </c>
      <c r="I31" s="368">
        <f t="shared" si="21"/>
        <v>0</v>
      </c>
      <c r="J31" s="368">
        <f t="shared" si="21"/>
        <v>0</v>
      </c>
      <c r="K31" s="368">
        <f t="shared" si="21"/>
        <v>0</v>
      </c>
      <c r="L31" s="368">
        <f t="shared" si="21"/>
        <v>0</v>
      </c>
      <c r="M31" s="368">
        <f t="shared" si="21"/>
        <v>0</v>
      </c>
      <c r="N31" s="368">
        <f t="shared" si="21"/>
        <v>0</v>
      </c>
      <c r="O31" s="368">
        <f t="shared" si="21"/>
        <v>0</v>
      </c>
      <c r="P31" s="368">
        <f t="shared" si="21"/>
        <v>0</v>
      </c>
      <c r="Q31" s="368">
        <f t="shared" si="21"/>
        <v>0</v>
      </c>
      <c r="R31" s="368">
        <f t="shared" si="21"/>
        <v>0</v>
      </c>
      <c r="S31" s="368">
        <f t="shared" si="21"/>
        <v>0</v>
      </c>
    </row>
    <row r="32" spans="1:20" ht="12.75" customHeight="1" x14ac:dyDescent="0.2">
      <c r="A32" s="1039" t="s">
        <v>173</v>
      </c>
      <c r="B32" s="1040"/>
      <c r="C32" s="1035"/>
      <c r="D32" s="377" t="str">
        <f t="shared" si="9"/>
        <v/>
      </c>
      <c r="E32" s="376"/>
      <c r="F32" s="368">
        <f t="shared" ref="F32:S32" si="22">E32*(1+$O$6)</f>
        <v>0</v>
      </c>
      <c r="G32" s="368">
        <f t="shared" si="22"/>
        <v>0</v>
      </c>
      <c r="H32" s="368">
        <f t="shared" si="22"/>
        <v>0</v>
      </c>
      <c r="I32" s="368">
        <f t="shared" si="22"/>
        <v>0</v>
      </c>
      <c r="J32" s="368">
        <f t="shared" si="22"/>
        <v>0</v>
      </c>
      <c r="K32" s="368">
        <f t="shared" si="22"/>
        <v>0</v>
      </c>
      <c r="L32" s="368">
        <f t="shared" si="22"/>
        <v>0</v>
      </c>
      <c r="M32" s="368">
        <f t="shared" si="22"/>
        <v>0</v>
      </c>
      <c r="N32" s="368">
        <f t="shared" si="22"/>
        <v>0</v>
      </c>
      <c r="O32" s="368">
        <f t="shared" si="22"/>
        <v>0</v>
      </c>
      <c r="P32" s="368">
        <f t="shared" si="22"/>
        <v>0</v>
      </c>
      <c r="Q32" s="368">
        <f t="shared" si="22"/>
        <v>0</v>
      </c>
      <c r="R32" s="368">
        <f t="shared" si="22"/>
        <v>0</v>
      </c>
      <c r="S32" s="368">
        <f t="shared" si="22"/>
        <v>0</v>
      </c>
    </row>
    <row r="33" spans="1:25" ht="12.75" customHeight="1" x14ac:dyDescent="0.2">
      <c r="A33" s="1056" t="s">
        <v>174</v>
      </c>
      <c r="B33" s="1057"/>
      <c r="C33" s="1058"/>
      <c r="D33" s="377" t="str">
        <f t="shared" si="9"/>
        <v/>
      </c>
      <c r="E33" s="376"/>
      <c r="F33" s="368">
        <f t="shared" ref="F33:S33" si="23">$E$33</f>
        <v>0</v>
      </c>
      <c r="G33" s="368">
        <f t="shared" si="23"/>
        <v>0</v>
      </c>
      <c r="H33" s="368">
        <f t="shared" si="23"/>
        <v>0</v>
      </c>
      <c r="I33" s="368">
        <f t="shared" si="23"/>
        <v>0</v>
      </c>
      <c r="J33" s="368">
        <f t="shared" si="23"/>
        <v>0</v>
      </c>
      <c r="K33" s="368">
        <f t="shared" si="23"/>
        <v>0</v>
      </c>
      <c r="L33" s="368">
        <f t="shared" si="23"/>
        <v>0</v>
      </c>
      <c r="M33" s="368">
        <f t="shared" si="23"/>
        <v>0</v>
      </c>
      <c r="N33" s="368">
        <f t="shared" si="23"/>
        <v>0</v>
      </c>
      <c r="O33" s="368">
        <f t="shared" si="23"/>
        <v>0</v>
      </c>
      <c r="P33" s="368">
        <f t="shared" si="23"/>
        <v>0</v>
      </c>
      <c r="Q33" s="368">
        <f t="shared" si="23"/>
        <v>0</v>
      </c>
      <c r="R33" s="368">
        <f t="shared" si="23"/>
        <v>0</v>
      </c>
      <c r="S33" s="368">
        <f t="shared" si="23"/>
        <v>0</v>
      </c>
    </row>
    <row r="34" spans="1:25" ht="12.75" customHeight="1" x14ac:dyDescent="0.2">
      <c r="A34" s="1056" t="s">
        <v>175</v>
      </c>
      <c r="B34" s="1057"/>
      <c r="C34" s="1058"/>
      <c r="D34" s="377" t="str">
        <f t="shared" si="9"/>
        <v/>
      </c>
      <c r="E34" s="376"/>
      <c r="F34" s="368">
        <f t="shared" ref="F34:S34" si="24">E34*(1+$O$6)</f>
        <v>0</v>
      </c>
      <c r="G34" s="368">
        <f t="shared" si="24"/>
        <v>0</v>
      </c>
      <c r="H34" s="368">
        <f t="shared" si="24"/>
        <v>0</v>
      </c>
      <c r="I34" s="368">
        <f t="shared" si="24"/>
        <v>0</v>
      </c>
      <c r="J34" s="368">
        <f t="shared" si="24"/>
        <v>0</v>
      </c>
      <c r="K34" s="368">
        <f t="shared" si="24"/>
        <v>0</v>
      </c>
      <c r="L34" s="368">
        <f t="shared" si="24"/>
        <v>0</v>
      </c>
      <c r="M34" s="368">
        <f t="shared" si="24"/>
        <v>0</v>
      </c>
      <c r="N34" s="368">
        <f t="shared" si="24"/>
        <v>0</v>
      </c>
      <c r="O34" s="368">
        <f t="shared" si="24"/>
        <v>0</v>
      </c>
      <c r="P34" s="368">
        <f t="shared" si="24"/>
        <v>0</v>
      </c>
      <c r="Q34" s="368">
        <f t="shared" si="24"/>
        <v>0</v>
      </c>
      <c r="R34" s="368">
        <f t="shared" si="24"/>
        <v>0</v>
      </c>
      <c r="S34" s="368">
        <f t="shared" si="24"/>
        <v>0</v>
      </c>
    </row>
    <row r="35" spans="1:25" ht="12.75" customHeight="1" x14ac:dyDescent="0.2">
      <c r="A35" s="1056" t="s">
        <v>176</v>
      </c>
      <c r="B35" s="1057"/>
      <c r="C35" s="1058"/>
      <c r="D35" s="377" t="str">
        <f t="shared" si="9"/>
        <v/>
      </c>
      <c r="E35" s="376"/>
      <c r="F35" s="368">
        <f t="shared" ref="F35:S35" si="25">E35*(1+$O$6)</f>
        <v>0</v>
      </c>
      <c r="G35" s="368">
        <f t="shared" si="25"/>
        <v>0</v>
      </c>
      <c r="H35" s="368">
        <f t="shared" si="25"/>
        <v>0</v>
      </c>
      <c r="I35" s="368">
        <f t="shared" si="25"/>
        <v>0</v>
      </c>
      <c r="J35" s="368">
        <f t="shared" si="25"/>
        <v>0</v>
      </c>
      <c r="K35" s="368">
        <f t="shared" si="25"/>
        <v>0</v>
      </c>
      <c r="L35" s="368">
        <f t="shared" si="25"/>
        <v>0</v>
      </c>
      <c r="M35" s="368">
        <f t="shared" si="25"/>
        <v>0</v>
      </c>
      <c r="N35" s="368">
        <f t="shared" si="25"/>
        <v>0</v>
      </c>
      <c r="O35" s="368">
        <f t="shared" si="25"/>
        <v>0</v>
      </c>
      <c r="P35" s="368">
        <f t="shared" si="25"/>
        <v>0</v>
      </c>
      <c r="Q35" s="368">
        <f t="shared" si="25"/>
        <v>0</v>
      </c>
      <c r="R35" s="368">
        <f t="shared" si="25"/>
        <v>0</v>
      </c>
      <c r="S35" s="368">
        <f t="shared" si="25"/>
        <v>0</v>
      </c>
    </row>
    <row r="36" spans="1:25" ht="12.75" customHeight="1" x14ac:dyDescent="0.2">
      <c r="A36" s="1056" t="s">
        <v>177</v>
      </c>
      <c r="B36" s="1057"/>
      <c r="C36" s="1058"/>
      <c r="D36" s="377" t="str">
        <f t="shared" si="9"/>
        <v/>
      </c>
      <c r="E36" s="376"/>
      <c r="F36" s="368">
        <f t="shared" ref="F36:S36" si="26">E36*(1+$O$6)</f>
        <v>0</v>
      </c>
      <c r="G36" s="368">
        <f t="shared" si="26"/>
        <v>0</v>
      </c>
      <c r="H36" s="368">
        <f t="shared" si="26"/>
        <v>0</v>
      </c>
      <c r="I36" s="368">
        <f t="shared" si="26"/>
        <v>0</v>
      </c>
      <c r="J36" s="368">
        <f t="shared" si="26"/>
        <v>0</v>
      </c>
      <c r="K36" s="368">
        <f t="shared" si="26"/>
        <v>0</v>
      </c>
      <c r="L36" s="368">
        <f t="shared" si="26"/>
        <v>0</v>
      </c>
      <c r="M36" s="368">
        <f t="shared" si="26"/>
        <v>0</v>
      </c>
      <c r="N36" s="368">
        <f t="shared" si="26"/>
        <v>0</v>
      </c>
      <c r="O36" s="368">
        <f t="shared" si="26"/>
        <v>0</v>
      </c>
      <c r="P36" s="368">
        <f t="shared" si="26"/>
        <v>0</v>
      </c>
      <c r="Q36" s="368">
        <f t="shared" si="26"/>
        <v>0</v>
      </c>
      <c r="R36" s="368">
        <f t="shared" si="26"/>
        <v>0</v>
      </c>
      <c r="S36" s="368">
        <f t="shared" si="26"/>
        <v>0</v>
      </c>
    </row>
    <row r="37" spans="1:25" ht="12.75" customHeight="1" x14ac:dyDescent="0.2">
      <c r="A37" s="1056" t="s">
        <v>627</v>
      </c>
      <c r="B37" s="1057"/>
      <c r="C37" s="1058"/>
      <c r="D37" s="377" t="str">
        <f t="shared" si="9"/>
        <v/>
      </c>
      <c r="E37" s="376"/>
      <c r="F37" s="368">
        <f t="shared" ref="F37:S37" si="27">E37*(1+$O$6)</f>
        <v>0</v>
      </c>
      <c r="G37" s="368">
        <f t="shared" si="27"/>
        <v>0</v>
      </c>
      <c r="H37" s="368">
        <f t="shared" si="27"/>
        <v>0</v>
      </c>
      <c r="I37" s="368">
        <f t="shared" si="27"/>
        <v>0</v>
      </c>
      <c r="J37" s="368">
        <f t="shared" si="27"/>
        <v>0</v>
      </c>
      <c r="K37" s="368">
        <f t="shared" si="27"/>
        <v>0</v>
      </c>
      <c r="L37" s="368">
        <f t="shared" si="27"/>
        <v>0</v>
      </c>
      <c r="M37" s="368">
        <f t="shared" si="27"/>
        <v>0</v>
      </c>
      <c r="N37" s="368">
        <f t="shared" si="27"/>
        <v>0</v>
      </c>
      <c r="O37" s="368">
        <f t="shared" si="27"/>
        <v>0</v>
      </c>
      <c r="P37" s="368">
        <f t="shared" si="27"/>
        <v>0</v>
      </c>
      <c r="Q37" s="368">
        <f t="shared" si="27"/>
        <v>0</v>
      </c>
      <c r="R37" s="368">
        <f t="shared" si="27"/>
        <v>0</v>
      </c>
      <c r="S37" s="368">
        <f t="shared" si="27"/>
        <v>0</v>
      </c>
      <c r="T37" s="363" t="str">
        <f>IF(AND(E37&lt;&gt;0,A37="F. Other Income:"),"Describe Other Source of Income","")</f>
        <v/>
      </c>
    </row>
    <row r="38" spans="1:25" ht="12.75" customHeight="1" x14ac:dyDescent="0.2">
      <c r="A38" s="364" t="s">
        <v>663</v>
      </c>
      <c r="B38" s="378"/>
      <c r="C38" s="379"/>
      <c r="D38" s="377"/>
      <c r="E38" s="376"/>
      <c r="F38" s="368">
        <f t="shared" ref="F38" si="28">E38*(1+$O$6)</f>
        <v>0</v>
      </c>
      <c r="G38" s="368">
        <f t="shared" ref="G38" si="29">F38*(1+$O$6)</f>
        <v>0</v>
      </c>
      <c r="H38" s="368">
        <f t="shared" ref="H38" si="30">G38*(1+$O$6)</f>
        <v>0</v>
      </c>
      <c r="I38" s="368">
        <f t="shared" ref="I38" si="31">H38*(1+$O$6)</f>
        <v>0</v>
      </c>
      <c r="J38" s="368">
        <f t="shared" ref="J38" si="32">I38*(1+$O$6)</f>
        <v>0</v>
      </c>
      <c r="K38" s="368">
        <f t="shared" ref="K38" si="33">J38*(1+$O$6)</f>
        <v>0</v>
      </c>
      <c r="L38" s="368">
        <f t="shared" ref="L38" si="34">K38*(1+$O$6)</f>
        <v>0</v>
      </c>
      <c r="M38" s="368">
        <f t="shared" ref="M38" si="35">L38*(1+$O$6)</f>
        <v>0</v>
      </c>
      <c r="N38" s="368">
        <f t="shared" ref="N38" si="36">M38*(1+$O$6)</f>
        <v>0</v>
      </c>
      <c r="O38" s="368">
        <f t="shared" ref="O38" si="37">N38*(1+$O$6)</f>
        <v>0</v>
      </c>
      <c r="P38" s="368">
        <f t="shared" ref="P38" si="38">O38*(1+$O$6)</f>
        <v>0</v>
      </c>
      <c r="Q38" s="368">
        <f t="shared" ref="Q38" si="39">P38*(1+$O$6)</f>
        <v>0</v>
      </c>
      <c r="R38" s="368">
        <f t="shared" ref="R38" si="40">Q38*(1+$O$6)</f>
        <v>0</v>
      </c>
      <c r="S38" s="368">
        <f t="shared" ref="S38" si="41">R38*(1+$O$6)</f>
        <v>0</v>
      </c>
      <c r="T38" s="363"/>
    </row>
    <row r="39" spans="1:25" ht="12.75" customHeight="1" x14ac:dyDescent="0.2">
      <c r="A39" s="364" t="s">
        <v>664</v>
      </c>
      <c r="B39" s="1031"/>
      <c r="C39" s="1032"/>
      <c r="D39" s="377" t="str">
        <f t="shared" si="9"/>
        <v/>
      </c>
      <c r="E39" s="376"/>
      <c r="F39" s="368">
        <f t="shared" ref="F39:S39" si="42">E39*(1+$O$6)</f>
        <v>0</v>
      </c>
      <c r="G39" s="368">
        <f t="shared" si="42"/>
        <v>0</v>
      </c>
      <c r="H39" s="368">
        <f t="shared" si="42"/>
        <v>0</v>
      </c>
      <c r="I39" s="368">
        <f t="shared" si="42"/>
        <v>0</v>
      </c>
      <c r="J39" s="368">
        <f t="shared" si="42"/>
        <v>0</v>
      </c>
      <c r="K39" s="368">
        <f t="shared" si="42"/>
        <v>0</v>
      </c>
      <c r="L39" s="368">
        <f t="shared" si="42"/>
        <v>0</v>
      </c>
      <c r="M39" s="368">
        <f t="shared" si="42"/>
        <v>0</v>
      </c>
      <c r="N39" s="368">
        <f t="shared" si="42"/>
        <v>0</v>
      </c>
      <c r="O39" s="368">
        <f t="shared" si="42"/>
        <v>0</v>
      </c>
      <c r="P39" s="368">
        <f t="shared" si="42"/>
        <v>0</v>
      </c>
      <c r="Q39" s="368">
        <f t="shared" si="42"/>
        <v>0</v>
      </c>
      <c r="R39" s="368">
        <f t="shared" si="42"/>
        <v>0</v>
      </c>
      <c r="S39" s="368">
        <f t="shared" si="42"/>
        <v>0</v>
      </c>
      <c r="T39" s="363" t="str">
        <f>IF(AND(E39&lt;&gt;0,A39="F. Other Income:"),"Describe Other Source of Income","")</f>
        <v/>
      </c>
    </row>
    <row r="40" spans="1:25" ht="12.75" customHeight="1" x14ac:dyDescent="0.2">
      <c r="A40" s="364" t="s">
        <v>665</v>
      </c>
      <c r="B40" s="1031"/>
      <c r="C40" s="1032"/>
      <c r="D40" s="377" t="str">
        <f t="shared" si="9"/>
        <v/>
      </c>
      <c r="E40" s="376"/>
      <c r="F40" s="361">
        <f t="shared" ref="F40:S40" si="43">E40*(1+$O$6)</f>
        <v>0</v>
      </c>
      <c r="G40" s="361">
        <f t="shared" si="43"/>
        <v>0</v>
      </c>
      <c r="H40" s="361">
        <f t="shared" si="43"/>
        <v>0</v>
      </c>
      <c r="I40" s="361">
        <f t="shared" si="43"/>
        <v>0</v>
      </c>
      <c r="J40" s="361">
        <f t="shared" si="43"/>
        <v>0</v>
      </c>
      <c r="K40" s="361">
        <f t="shared" si="43"/>
        <v>0</v>
      </c>
      <c r="L40" s="361">
        <f t="shared" si="43"/>
        <v>0</v>
      </c>
      <c r="M40" s="361">
        <f t="shared" si="43"/>
        <v>0</v>
      </c>
      <c r="N40" s="361">
        <f t="shared" si="43"/>
        <v>0</v>
      </c>
      <c r="O40" s="361">
        <f t="shared" si="43"/>
        <v>0</v>
      </c>
      <c r="P40" s="361">
        <f t="shared" si="43"/>
        <v>0</v>
      </c>
      <c r="Q40" s="361">
        <f t="shared" si="43"/>
        <v>0</v>
      </c>
      <c r="R40" s="361">
        <f t="shared" si="43"/>
        <v>0</v>
      </c>
      <c r="S40" s="361">
        <f t="shared" si="43"/>
        <v>0</v>
      </c>
      <c r="T40" s="363" t="str">
        <f>IF(AND(E40&lt;&gt;0,A40="F. Other Income:"),"Describe Other Source of Income","")</f>
        <v/>
      </c>
      <c r="X40" s="363"/>
      <c r="Y40" s="363"/>
    </row>
    <row r="41" spans="1:25" ht="12.75" customHeight="1" x14ac:dyDescent="0.2">
      <c r="A41" s="1039" t="s">
        <v>666</v>
      </c>
      <c r="B41" s="1040"/>
      <c r="C41" s="1035"/>
      <c r="D41" s="377" t="str">
        <f t="shared" si="9"/>
        <v/>
      </c>
      <c r="E41" s="358"/>
      <c r="F41" s="361">
        <f t="shared" ref="F41:S41" si="44">E41*(1+$O$6)</f>
        <v>0</v>
      </c>
      <c r="G41" s="361">
        <f t="shared" si="44"/>
        <v>0</v>
      </c>
      <c r="H41" s="361">
        <f t="shared" si="44"/>
        <v>0</v>
      </c>
      <c r="I41" s="361">
        <f t="shared" si="44"/>
        <v>0</v>
      </c>
      <c r="J41" s="361">
        <f t="shared" si="44"/>
        <v>0</v>
      </c>
      <c r="K41" s="361">
        <f t="shared" si="44"/>
        <v>0</v>
      </c>
      <c r="L41" s="361">
        <f t="shared" si="44"/>
        <v>0</v>
      </c>
      <c r="M41" s="361">
        <f t="shared" si="44"/>
        <v>0</v>
      </c>
      <c r="N41" s="361">
        <f t="shared" si="44"/>
        <v>0</v>
      </c>
      <c r="O41" s="361">
        <f t="shared" si="44"/>
        <v>0</v>
      </c>
      <c r="P41" s="361">
        <f t="shared" si="44"/>
        <v>0</v>
      </c>
      <c r="Q41" s="361">
        <f t="shared" si="44"/>
        <v>0</v>
      </c>
      <c r="R41" s="361">
        <f t="shared" si="44"/>
        <v>0</v>
      </c>
      <c r="S41" s="361">
        <f t="shared" si="44"/>
        <v>0</v>
      </c>
      <c r="T41" s="380" t="str">
        <f>IF(OR(AND(E41&gt;0,X41&gt;0),(AND(E41&gt;0,Y41&gt;0))),"Check 'Sources of Funds' for possible tax abatements","")</f>
        <v/>
      </c>
      <c r="X41" s="381"/>
      <c r="Y41" s="381"/>
    </row>
    <row r="42" spans="1:25" ht="12.75" customHeight="1" x14ac:dyDescent="0.2">
      <c r="A42" s="1039" t="s">
        <v>667</v>
      </c>
      <c r="B42" s="1040"/>
      <c r="C42" s="1035"/>
      <c r="D42" s="377" t="str">
        <f t="shared" si="9"/>
        <v/>
      </c>
      <c r="E42" s="358"/>
      <c r="F42" s="361">
        <f t="shared" ref="F42:S42" si="45">E42*(1+$O$6)</f>
        <v>0</v>
      </c>
      <c r="G42" s="361">
        <f t="shared" si="45"/>
        <v>0</v>
      </c>
      <c r="H42" s="361">
        <f t="shared" si="45"/>
        <v>0</v>
      </c>
      <c r="I42" s="361">
        <f t="shared" si="45"/>
        <v>0</v>
      </c>
      <c r="J42" s="361">
        <f t="shared" si="45"/>
        <v>0</v>
      </c>
      <c r="K42" s="361">
        <f t="shared" si="45"/>
        <v>0</v>
      </c>
      <c r="L42" s="361">
        <f t="shared" si="45"/>
        <v>0</v>
      </c>
      <c r="M42" s="361">
        <f t="shared" si="45"/>
        <v>0</v>
      </c>
      <c r="N42" s="361">
        <f t="shared" si="45"/>
        <v>0</v>
      </c>
      <c r="O42" s="361">
        <f t="shared" si="45"/>
        <v>0</v>
      </c>
      <c r="P42" s="361">
        <f t="shared" si="45"/>
        <v>0</v>
      </c>
      <c r="Q42" s="361">
        <f t="shared" si="45"/>
        <v>0</v>
      </c>
      <c r="R42" s="361">
        <f t="shared" si="45"/>
        <v>0</v>
      </c>
      <c r="S42" s="361">
        <f t="shared" si="45"/>
        <v>0</v>
      </c>
    </row>
    <row r="43" spans="1:25" ht="12.75" customHeight="1" x14ac:dyDescent="0.2">
      <c r="A43" s="382" t="s">
        <v>668</v>
      </c>
      <c r="B43" s="1031"/>
      <c r="C43" s="1032"/>
      <c r="D43" s="377" t="str">
        <f t="shared" si="9"/>
        <v/>
      </c>
      <c r="E43" s="358"/>
      <c r="F43" s="361">
        <f t="shared" ref="F43:S43" si="46">E43*(1+$O$6)</f>
        <v>0</v>
      </c>
      <c r="G43" s="361">
        <f t="shared" si="46"/>
        <v>0</v>
      </c>
      <c r="H43" s="361">
        <f t="shared" si="46"/>
        <v>0</v>
      </c>
      <c r="I43" s="361">
        <f t="shared" si="46"/>
        <v>0</v>
      </c>
      <c r="J43" s="361">
        <f t="shared" si="46"/>
        <v>0</v>
      </c>
      <c r="K43" s="361">
        <f t="shared" si="46"/>
        <v>0</v>
      </c>
      <c r="L43" s="361">
        <f t="shared" si="46"/>
        <v>0</v>
      </c>
      <c r="M43" s="361">
        <f t="shared" si="46"/>
        <v>0</v>
      </c>
      <c r="N43" s="361">
        <f t="shared" si="46"/>
        <v>0</v>
      </c>
      <c r="O43" s="361">
        <f t="shared" si="46"/>
        <v>0</v>
      </c>
      <c r="P43" s="361">
        <f t="shared" si="46"/>
        <v>0</v>
      </c>
      <c r="Q43" s="361">
        <f t="shared" si="46"/>
        <v>0</v>
      </c>
      <c r="R43" s="361">
        <f t="shared" si="46"/>
        <v>0</v>
      </c>
      <c r="S43" s="361">
        <f t="shared" si="46"/>
        <v>0</v>
      </c>
      <c r="T43" s="363" t="str">
        <f>IF(AND(E43&lt;&gt;0,A43="F. Other Income:"),"Describe Other Source of Income","")</f>
        <v/>
      </c>
    </row>
    <row r="44" spans="1:25" ht="12.75" customHeight="1" thickBot="1" x14ac:dyDescent="0.25">
      <c r="A44" s="1068" t="s">
        <v>633</v>
      </c>
      <c r="B44" s="1069"/>
      <c r="C44" s="1038"/>
      <c r="D44" s="383" t="str">
        <f>IF(OR(E44=0,E44=""),"",ROUND((E44/E4),0))</f>
        <v/>
      </c>
      <c r="E44" s="384">
        <f>SUM(E20:E43)</f>
        <v>0</v>
      </c>
      <c r="F44" s="385">
        <f t="shared" ref="F44:S44" si="47">SUM(F20:F43)</f>
        <v>0</v>
      </c>
      <c r="G44" s="385">
        <f t="shared" si="47"/>
        <v>0</v>
      </c>
      <c r="H44" s="385">
        <f t="shared" si="47"/>
        <v>0</v>
      </c>
      <c r="I44" s="385">
        <f t="shared" si="47"/>
        <v>0</v>
      </c>
      <c r="J44" s="385">
        <f t="shared" si="47"/>
        <v>0</v>
      </c>
      <c r="K44" s="385">
        <f t="shared" si="47"/>
        <v>0</v>
      </c>
      <c r="L44" s="385">
        <f t="shared" si="47"/>
        <v>0</v>
      </c>
      <c r="M44" s="385">
        <f t="shared" si="47"/>
        <v>0</v>
      </c>
      <c r="N44" s="384">
        <f t="shared" si="47"/>
        <v>0</v>
      </c>
      <c r="O44" s="384">
        <f t="shared" si="47"/>
        <v>0</v>
      </c>
      <c r="P44" s="384">
        <f t="shared" si="47"/>
        <v>0</v>
      </c>
      <c r="Q44" s="384">
        <f t="shared" si="47"/>
        <v>0</v>
      </c>
      <c r="R44" s="384">
        <f t="shared" si="47"/>
        <v>0</v>
      </c>
      <c r="S44" s="384">
        <f t="shared" si="47"/>
        <v>0</v>
      </c>
    </row>
    <row r="45" spans="1:25" ht="12.75" customHeight="1" thickBot="1" x14ac:dyDescent="0.25">
      <c r="A45" s="1037" t="s">
        <v>127</v>
      </c>
      <c r="B45" s="1040"/>
      <c r="C45" s="1063" t="s">
        <v>740</v>
      </c>
      <c r="D45" s="1064"/>
      <c r="E45" s="386"/>
      <c r="F45" s="352"/>
      <c r="G45" s="352"/>
      <c r="H45" s="352"/>
      <c r="I45" s="352"/>
      <c r="J45" s="352"/>
      <c r="K45" s="352"/>
      <c r="L45" s="352"/>
      <c r="M45" s="352"/>
      <c r="N45" s="352"/>
      <c r="O45" s="352"/>
      <c r="P45" s="352"/>
      <c r="Q45" s="352"/>
      <c r="R45" s="352"/>
      <c r="S45" s="352"/>
    </row>
    <row r="46" spans="1:25" ht="12.75" customHeight="1" x14ac:dyDescent="0.2">
      <c r="A46" s="1033" t="s">
        <v>179</v>
      </c>
      <c r="B46" s="1034"/>
      <c r="C46" s="1035"/>
      <c r="D46" s="377" t="str">
        <f t="shared" ref="D46:D47" si="48">IF(OR(E46=0,E46=""),"",(E46/12)/$E$4)</f>
        <v/>
      </c>
      <c r="E46" s="387"/>
      <c r="F46" s="361">
        <f>E46*(1+$E$45)</f>
        <v>0</v>
      </c>
      <c r="G46" s="361">
        <f>F46*(1+$E$45)</f>
        <v>0</v>
      </c>
      <c r="H46" s="361">
        <f t="shared" ref="H46:S47" si="49">G46*(1+$E$45)</f>
        <v>0</v>
      </c>
      <c r="I46" s="361">
        <f t="shared" si="49"/>
        <v>0</v>
      </c>
      <c r="J46" s="361">
        <f t="shared" si="49"/>
        <v>0</v>
      </c>
      <c r="K46" s="361">
        <f t="shared" si="49"/>
        <v>0</v>
      </c>
      <c r="L46" s="361">
        <f t="shared" si="49"/>
        <v>0</v>
      </c>
      <c r="M46" s="361">
        <f t="shared" si="49"/>
        <v>0</v>
      </c>
      <c r="N46" s="361">
        <f t="shared" si="49"/>
        <v>0</v>
      </c>
      <c r="O46" s="361">
        <f t="shared" si="49"/>
        <v>0</v>
      </c>
      <c r="P46" s="361">
        <f t="shared" si="49"/>
        <v>0</v>
      </c>
      <c r="Q46" s="361">
        <f t="shared" si="49"/>
        <v>0</v>
      </c>
      <c r="R46" s="361">
        <f t="shared" si="49"/>
        <v>0</v>
      </c>
      <c r="S46" s="361">
        <f t="shared" si="49"/>
        <v>0</v>
      </c>
      <c r="V46" s="359">
        <f>SUM(E46:S46)</f>
        <v>0</v>
      </c>
      <c r="W46" s="322" t="s">
        <v>1366</v>
      </c>
    </row>
    <row r="47" spans="1:25" ht="12.75" customHeight="1" x14ac:dyDescent="0.2">
      <c r="A47" s="364" t="s">
        <v>596</v>
      </c>
      <c r="B47" s="1031"/>
      <c r="C47" s="1032"/>
      <c r="D47" s="377" t="str">
        <f t="shared" si="48"/>
        <v/>
      </c>
      <c r="E47" s="358"/>
      <c r="F47" s="361">
        <f>E47*(1+$E$45)</f>
        <v>0</v>
      </c>
      <c r="G47" s="361">
        <f t="shared" ref="G47" si="50">F47*(1+$E$45)</f>
        <v>0</v>
      </c>
      <c r="H47" s="361">
        <f t="shared" si="49"/>
        <v>0</v>
      </c>
      <c r="I47" s="361">
        <f t="shared" si="49"/>
        <v>0</v>
      </c>
      <c r="J47" s="361">
        <f t="shared" si="49"/>
        <v>0</v>
      </c>
      <c r="K47" s="361">
        <f t="shared" si="49"/>
        <v>0</v>
      </c>
      <c r="L47" s="361">
        <f t="shared" si="49"/>
        <v>0</v>
      </c>
      <c r="M47" s="361">
        <f t="shared" si="49"/>
        <v>0</v>
      </c>
      <c r="N47" s="361">
        <f t="shared" si="49"/>
        <v>0</v>
      </c>
      <c r="O47" s="361">
        <f t="shared" si="49"/>
        <v>0</v>
      </c>
      <c r="P47" s="361">
        <f t="shared" si="49"/>
        <v>0</v>
      </c>
      <c r="Q47" s="361">
        <f t="shared" si="49"/>
        <v>0</v>
      </c>
      <c r="R47" s="361">
        <f t="shared" si="49"/>
        <v>0</v>
      </c>
      <c r="S47" s="361">
        <f t="shared" si="49"/>
        <v>0</v>
      </c>
      <c r="T47" s="363" t="str">
        <f>IF(AND(E47&lt;&gt;0,A47="F. Other Income:"),"Describe Other Source of Income","")</f>
        <v/>
      </c>
      <c r="V47" s="359">
        <f>SUM(E47:S47)</f>
        <v>0</v>
      </c>
      <c r="W47" s="322" t="s">
        <v>1365</v>
      </c>
    </row>
    <row r="48" spans="1:25" ht="12.75" customHeight="1" x14ac:dyDescent="0.2">
      <c r="A48" s="1036" t="s">
        <v>128</v>
      </c>
      <c r="B48" s="1037"/>
      <c r="C48" s="1037"/>
      <c r="D48" s="1038"/>
      <c r="E48" s="356">
        <f t="shared" ref="E48:S48" si="51">SUM(E46:E47,E44)</f>
        <v>0</v>
      </c>
      <c r="F48" s="368">
        <f t="shared" si="51"/>
        <v>0</v>
      </c>
      <c r="G48" s="368">
        <f t="shared" si="51"/>
        <v>0</v>
      </c>
      <c r="H48" s="368">
        <f t="shared" si="51"/>
        <v>0</v>
      </c>
      <c r="I48" s="368">
        <f t="shared" si="51"/>
        <v>0</v>
      </c>
      <c r="J48" s="368">
        <f t="shared" si="51"/>
        <v>0</v>
      </c>
      <c r="K48" s="368">
        <f t="shared" si="51"/>
        <v>0</v>
      </c>
      <c r="L48" s="368">
        <f t="shared" si="51"/>
        <v>0</v>
      </c>
      <c r="M48" s="368">
        <f t="shared" si="51"/>
        <v>0</v>
      </c>
      <c r="N48" s="368">
        <f t="shared" si="51"/>
        <v>0</v>
      </c>
      <c r="O48" s="368">
        <f t="shared" si="51"/>
        <v>0</v>
      </c>
      <c r="P48" s="368">
        <f t="shared" si="51"/>
        <v>0</v>
      </c>
      <c r="Q48" s="368">
        <f t="shared" si="51"/>
        <v>0</v>
      </c>
      <c r="R48" s="368">
        <f t="shared" si="51"/>
        <v>0</v>
      </c>
      <c r="S48" s="368">
        <f t="shared" si="51"/>
        <v>0</v>
      </c>
    </row>
    <row r="49" spans="1:23" ht="12.75" customHeight="1" x14ac:dyDescent="0.2">
      <c r="A49" s="1036" t="s">
        <v>129</v>
      </c>
      <c r="B49" s="1037"/>
      <c r="C49" s="1037"/>
      <c r="D49" s="1038"/>
      <c r="E49" s="356">
        <f t="shared" ref="E49:S49" si="52">E18-E48</f>
        <v>0</v>
      </c>
      <c r="F49" s="368">
        <f t="shared" si="52"/>
        <v>0</v>
      </c>
      <c r="G49" s="368">
        <f t="shared" si="52"/>
        <v>0</v>
      </c>
      <c r="H49" s="368">
        <f t="shared" si="52"/>
        <v>0</v>
      </c>
      <c r="I49" s="368">
        <f t="shared" si="52"/>
        <v>0</v>
      </c>
      <c r="J49" s="368">
        <f t="shared" si="52"/>
        <v>0</v>
      </c>
      <c r="K49" s="368">
        <f t="shared" si="52"/>
        <v>0</v>
      </c>
      <c r="L49" s="368">
        <f t="shared" si="52"/>
        <v>0</v>
      </c>
      <c r="M49" s="368">
        <f t="shared" si="52"/>
        <v>0</v>
      </c>
      <c r="N49" s="368">
        <f t="shared" si="52"/>
        <v>0</v>
      </c>
      <c r="O49" s="368">
        <f t="shared" si="52"/>
        <v>0</v>
      </c>
      <c r="P49" s="368">
        <f t="shared" si="52"/>
        <v>0</v>
      </c>
      <c r="Q49" s="368">
        <f t="shared" si="52"/>
        <v>0</v>
      </c>
      <c r="R49" s="368">
        <f t="shared" si="52"/>
        <v>0</v>
      </c>
      <c r="S49" s="368">
        <f t="shared" si="52"/>
        <v>0</v>
      </c>
    </row>
    <row r="50" spans="1:23" ht="12.75" customHeight="1" x14ac:dyDescent="0.2">
      <c r="A50" s="1036" t="s">
        <v>130</v>
      </c>
      <c r="B50" s="1037"/>
      <c r="C50" s="1037"/>
      <c r="D50" s="1038"/>
      <c r="E50" s="356">
        <f>'Sources of Funds Worksheet'!W23</f>
        <v>0</v>
      </c>
      <c r="F50" s="356">
        <f>'Sources of Funds Worksheet'!X23</f>
        <v>0</v>
      </c>
      <c r="G50" s="356">
        <f>'Sources of Funds Worksheet'!Y23</f>
        <v>0</v>
      </c>
      <c r="H50" s="356">
        <f>'Sources of Funds Worksheet'!Z23</f>
        <v>0</v>
      </c>
      <c r="I50" s="356">
        <f>'Sources of Funds Worksheet'!AA23</f>
        <v>0</v>
      </c>
      <c r="J50" s="356">
        <f>'Sources of Funds Worksheet'!AB23</f>
        <v>0</v>
      </c>
      <c r="K50" s="356">
        <f>'Sources of Funds Worksheet'!AC23</f>
        <v>0</v>
      </c>
      <c r="L50" s="356">
        <f>'Sources of Funds Worksheet'!AD23</f>
        <v>0</v>
      </c>
      <c r="M50" s="356">
        <f>'Sources of Funds Worksheet'!AE23</f>
        <v>0</v>
      </c>
      <c r="N50" s="356">
        <f>'Sources of Funds Worksheet'!AF23</f>
        <v>0</v>
      </c>
      <c r="O50" s="356">
        <f>'Sources of Funds Worksheet'!AG23</f>
        <v>0</v>
      </c>
      <c r="P50" s="356">
        <f>'Sources of Funds Worksheet'!AH23</f>
        <v>0</v>
      </c>
      <c r="Q50" s="356">
        <f>'Sources of Funds Worksheet'!AI23</f>
        <v>0</v>
      </c>
      <c r="R50" s="356">
        <f>'Sources of Funds Worksheet'!AJ23</f>
        <v>0</v>
      </c>
      <c r="S50" s="356">
        <f>'Sources of Funds Worksheet'!AK23</f>
        <v>0</v>
      </c>
      <c r="T50" s="388"/>
    </row>
    <row r="51" spans="1:23" ht="12.75" customHeight="1" x14ac:dyDescent="0.2">
      <c r="A51" s="1041" t="s">
        <v>1316</v>
      </c>
      <c r="B51" s="1042"/>
      <c r="C51" s="1042"/>
      <c r="D51" s="1043"/>
      <c r="E51" s="356">
        <f>E49-E50</f>
        <v>0</v>
      </c>
      <c r="F51" s="356">
        <f t="shared" ref="F51:S51" si="53">F49-F50</f>
        <v>0</v>
      </c>
      <c r="G51" s="356">
        <f t="shared" si="53"/>
        <v>0</v>
      </c>
      <c r="H51" s="356">
        <f>H49-H50</f>
        <v>0</v>
      </c>
      <c r="I51" s="356">
        <f t="shared" si="53"/>
        <v>0</v>
      </c>
      <c r="J51" s="356">
        <f t="shared" si="53"/>
        <v>0</v>
      </c>
      <c r="K51" s="356">
        <f t="shared" si="53"/>
        <v>0</v>
      </c>
      <c r="L51" s="356">
        <f t="shared" si="53"/>
        <v>0</v>
      </c>
      <c r="M51" s="356">
        <f t="shared" si="53"/>
        <v>0</v>
      </c>
      <c r="N51" s="356">
        <f t="shared" si="53"/>
        <v>0</v>
      </c>
      <c r="O51" s="356">
        <f t="shared" si="53"/>
        <v>0</v>
      </c>
      <c r="P51" s="356">
        <f t="shared" si="53"/>
        <v>0</v>
      </c>
      <c r="Q51" s="356">
        <f t="shared" si="53"/>
        <v>0</v>
      </c>
      <c r="R51" s="356">
        <f t="shared" si="53"/>
        <v>0</v>
      </c>
      <c r="S51" s="356">
        <f t="shared" si="53"/>
        <v>0</v>
      </c>
      <c r="T51" s="388"/>
    </row>
    <row r="52" spans="1:23" ht="12.75" customHeight="1" x14ac:dyDescent="0.2">
      <c r="A52" s="1036" t="s">
        <v>628</v>
      </c>
      <c r="B52" s="1037"/>
      <c r="C52" s="1037"/>
      <c r="D52" s="1038"/>
      <c r="E52" s="361">
        <f>IF(E51-E53&lt;0,0,IF((E51-E53)&gt;='Sources of Funds Worksheet'!$D$13,'Sources of Funds Worksheet'!$D$13,(E51-E53)))</f>
        <v>0</v>
      </c>
      <c r="F52" s="361">
        <f>IF(F51-F53&lt;0,0,IF(E52&gt;='Sources of Funds Worksheet'!$D$13,0,IF((F51-F53)&gt;('Sources of Funds Worksheet'!$D$13-E52),('Sources of Funds Worksheet'!$D$13-E52),F51-F53)))</f>
        <v>0</v>
      </c>
      <c r="G52" s="361">
        <f>IF(G51-G53&lt;0,0,IF(SUM(E52:F52)&gt;='Sources of Funds Worksheet'!$D$13,0,IF((G51-G53)&gt;('Sources of Funds Worksheet'!$D$13-(E52+F52)),('Sources of Funds Worksheet'!$D$13-(E52+F52)),G51-G53)))</f>
        <v>0</v>
      </c>
      <c r="H52" s="361">
        <f>IF(H51-H53&lt;0,0,IF(SUM(E52:G52)&gt;='Sources of Funds Worksheet'!$D$13,0,IF((H51-H53)&gt;('Sources of Funds Worksheet'!$D$13-(E52+F52+G52)),('Sources of Funds Worksheet'!$D$13-(E52+F52+G52)),H51-H53)))</f>
        <v>0</v>
      </c>
      <c r="I52" s="361">
        <f>IF(I51-I53&lt;0,0,IF(SUM(E52:H52)&gt;='Sources of Funds Worksheet'!$D$13,0,IF((I51-I53)&gt;('Sources of Funds Worksheet'!$D$13-(E52+F52+G52+H52)),('Sources of Funds Worksheet'!$D$13-(E52+F52+G52+H52)),I51-I53)))</f>
        <v>0</v>
      </c>
      <c r="J52" s="361">
        <f>IF(J51-J53&lt;0,0,IF(SUM(E52:I52)&gt;='Sources of Funds Worksheet'!$D$13,0,IF((J51-J53)&gt;('Sources of Funds Worksheet'!$D$13-(E52+F52+G52+H52+I52)),('Sources of Funds Worksheet'!$D$13-(E52+F52+G52+H52+I52)),J51-J53)))</f>
        <v>0</v>
      </c>
      <c r="K52" s="361">
        <f>IF(K51-K53&lt;0,0,IF(SUM(E52:J52)&gt;='Sources of Funds Worksheet'!$D$13,0,IF((K51-K53)&gt;('Sources of Funds Worksheet'!$D$13-(E52+F52+G52+H52+I52+J52)),('Sources of Funds Worksheet'!$D$13-(E52+F52+G52+H52+I52+J52)),K51-K53)))</f>
        <v>0</v>
      </c>
      <c r="L52" s="361">
        <f>IF(L51-L53&lt;0,0,IF(SUM(E52:K52)&gt;='Sources of Funds Worksheet'!$D$13,0,IF((L51-L53)&gt;('Sources of Funds Worksheet'!$D$13-(E52+F52+G52+H52+I52+J52+K52)),('Sources of Funds Worksheet'!$D$13-(E52+F52+G52+H52+I52+J52+K52)),L51-L53)))</f>
        <v>0</v>
      </c>
      <c r="M52" s="361">
        <f>IF(M51-M53&lt;0,0,IF(SUM(E52:L52)&gt;='Sources of Funds Worksheet'!$D$13,0,IF((M51-M53)&gt;('Sources of Funds Worksheet'!$D$13-(E52+F52+G52+H52+I52+J52+K52+L52)),('Sources of Funds Worksheet'!$D$13-(E52+F52+G52+H52+I52+J52+K52+L52)),M51-M53)))</f>
        <v>0</v>
      </c>
      <c r="N52" s="361">
        <f>IF(N51-N53&lt;0,0,IF(SUM(E52:M52)&gt;='Sources of Funds Worksheet'!$D$13,0,IF((N51-N53)&gt;('Sources of Funds Worksheet'!$D$13-(E52+F52+G52+H52+I52+J52+K52+L52+M52)),('Sources of Funds Worksheet'!$D$13-(E52+F52+G52+H52+I52+J52+K52+L52+M52)),N51-N53)))</f>
        <v>0</v>
      </c>
      <c r="O52" s="361">
        <f>IF(O51-O53&lt;0,0,IF(SUM(E52:N52)&gt;='Sources of Funds Worksheet'!$D$13,0,IF((O51-O53)&gt;('Sources of Funds Worksheet'!$D$13-(E52+F52+G52+H52+I52+J52+K52+L52+M52+N52)),('Sources of Funds Worksheet'!$D$13-(E52+F52+G52+H52+I52+J52+K52+L52+M52+N52)),O51-O53)))</f>
        <v>0</v>
      </c>
      <c r="P52" s="361">
        <f>IF(P51-P53&lt;0,0,IF(SUM(E52:O52)&gt;='Sources of Funds Worksheet'!$D$13,0,IF((P51-P53)&gt;('Sources of Funds Worksheet'!$D$13-(E52+F52+G52+H52+I52+J52+K52+L52+M52+N52+O52)),('Sources of Funds Worksheet'!$D$13-(E52+F52+G52+H52+I52+J52+K52+L52+M52+N52+O52)),P51-P53)))</f>
        <v>0</v>
      </c>
      <c r="Q52" s="361">
        <f>IF(Q51-Q53&lt;0,0,IF(SUM(E52:P52)&gt;='Sources of Funds Worksheet'!$D$13,0,IF((Q51-Q53)&gt;('Sources of Funds Worksheet'!$D$13-(E52+F52+G52+H52+I52+J52+K52+L52+M52+N52+O52+P52)),('Sources of Funds Worksheet'!$D$13-(E52+F52+G52+H52+I52+J52+K52+L52+M52+N52+O52+P52)),Q51-Q53)))</f>
        <v>0</v>
      </c>
      <c r="R52" s="361">
        <f>IF(R51-R53&lt;0,0,IF(SUM(E52:Q52)&gt;='Sources of Funds Worksheet'!$D$13,0,IF((R51-R53)&gt;('Sources of Funds Worksheet'!$D$13-(E52+F52+G52+H52+I52+J52+K52+L52+M52+N52+O52+P52+Q52)),('Sources of Funds Worksheet'!$D$13-(E52+F52+G52+H52+I52+J52+K52+L52+M52+N52+O52+P52+Q52)),R51-R53)))</f>
        <v>0</v>
      </c>
      <c r="S52" s="361">
        <f>IF(S51-S53&lt;0,0,IF(SUM(E52:R52)&gt;='Sources of Funds Worksheet'!$D$13,0,IF((S51-S53)&gt;('Sources of Funds Worksheet'!$D$13-(E52+F52+G52+H52+I52+J52+K52+L52+M52+N52+O52+P52+Q52+R52)),('Sources of Funds Worksheet'!$D$13-(E52+F52+G52+H52+I52+J52+K52+L52+M52+N52+O52+P52+Q52+R52)),S51-S53)))</f>
        <v>0</v>
      </c>
      <c r="V52" s="359">
        <f>SUM(E52:S52)</f>
        <v>0</v>
      </c>
      <c r="W52" s="322" t="s">
        <v>1367</v>
      </c>
    </row>
    <row r="53" spans="1:23" ht="12.75" customHeight="1" x14ac:dyDescent="0.2">
      <c r="A53" s="1036" t="s">
        <v>1501</v>
      </c>
      <c r="B53" s="1037"/>
      <c r="C53" s="1037"/>
      <c r="D53" s="1038"/>
      <c r="E53" s="376"/>
      <c r="F53" s="389">
        <f>E53</f>
        <v>0</v>
      </c>
      <c r="G53" s="389">
        <f t="shared" ref="G53:S53" si="54">F53</f>
        <v>0</v>
      </c>
      <c r="H53" s="389">
        <f t="shared" si="54"/>
        <v>0</v>
      </c>
      <c r="I53" s="389">
        <f t="shared" si="54"/>
        <v>0</v>
      </c>
      <c r="J53" s="389">
        <f t="shared" si="54"/>
        <v>0</v>
      </c>
      <c r="K53" s="389">
        <f t="shared" si="54"/>
        <v>0</v>
      </c>
      <c r="L53" s="389">
        <f t="shared" si="54"/>
        <v>0</v>
      </c>
      <c r="M53" s="389">
        <f>L53</f>
        <v>0</v>
      </c>
      <c r="N53" s="389">
        <f t="shared" si="54"/>
        <v>0</v>
      </c>
      <c r="O53" s="389">
        <f t="shared" si="54"/>
        <v>0</v>
      </c>
      <c r="P53" s="389">
        <f t="shared" si="54"/>
        <v>0</v>
      </c>
      <c r="Q53" s="389">
        <f t="shared" si="54"/>
        <v>0</v>
      </c>
      <c r="R53" s="389">
        <f t="shared" si="54"/>
        <v>0</v>
      </c>
      <c r="S53" s="389">
        <f t="shared" si="54"/>
        <v>0</v>
      </c>
      <c r="V53" s="359"/>
    </row>
    <row r="54" spans="1:23" ht="12.75" customHeight="1" x14ac:dyDescent="0.2">
      <c r="A54" s="1039" t="s">
        <v>1317</v>
      </c>
      <c r="B54" s="1040"/>
      <c r="C54" s="1040"/>
      <c r="D54" s="1035"/>
      <c r="E54" s="356">
        <f>E51-E52-E53</f>
        <v>0</v>
      </c>
      <c r="F54" s="356">
        <f t="shared" ref="F54:S54" si="55">F51-F52-F53</f>
        <v>0</v>
      </c>
      <c r="G54" s="356">
        <f t="shared" si="55"/>
        <v>0</v>
      </c>
      <c r="H54" s="356">
        <f>H51-H52-H53</f>
        <v>0</v>
      </c>
      <c r="I54" s="356">
        <f t="shared" si="55"/>
        <v>0</v>
      </c>
      <c r="J54" s="356">
        <f t="shared" si="55"/>
        <v>0</v>
      </c>
      <c r="K54" s="356">
        <f t="shared" si="55"/>
        <v>0</v>
      </c>
      <c r="L54" s="356">
        <f t="shared" si="55"/>
        <v>0</v>
      </c>
      <c r="M54" s="356">
        <f t="shared" si="55"/>
        <v>0</v>
      </c>
      <c r="N54" s="356">
        <f t="shared" si="55"/>
        <v>0</v>
      </c>
      <c r="O54" s="356">
        <f t="shared" si="55"/>
        <v>0</v>
      </c>
      <c r="P54" s="356">
        <f t="shared" si="55"/>
        <v>0</v>
      </c>
      <c r="Q54" s="356">
        <f t="shared" si="55"/>
        <v>0</v>
      </c>
      <c r="R54" s="356">
        <f t="shared" si="55"/>
        <v>0</v>
      </c>
      <c r="S54" s="356">
        <f t="shared" si="55"/>
        <v>0</v>
      </c>
      <c r="V54" s="390" t="str">
        <f>IF(ABS(V52-'Sources of Funds Worksheet'!D13)&lt;=1,"TRUE","FALSE")</f>
        <v>TRUE</v>
      </c>
      <c r="W54" s="322" t="s">
        <v>1368</v>
      </c>
    </row>
    <row r="55" spans="1:23" ht="12.75" customHeight="1" x14ac:dyDescent="0.2">
      <c r="A55" s="1062" t="s">
        <v>1455</v>
      </c>
      <c r="B55" s="1062"/>
      <c r="C55" s="1062"/>
      <c r="D55" s="1062"/>
      <c r="E55" s="391">
        <f>ROUND(IF('Feasibility Analysis Worksheet'!$E$12="Use EGI%",0,IF(ISNUMBER(E49/E50),E49/E50,0)),2)</f>
        <v>0</v>
      </c>
      <c r="F55" s="391">
        <f>ROUND(IF('Feasibility Analysis Worksheet'!$E$12="Use EGI%",0,IF(ISNUMBER(F49/F50),F49/F50,0)),2)</f>
        <v>0</v>
      </c>
      <c r="G55" s="391">
        <f>ROUND(IF('Feasibility Analysis Worksheet'!$E$12="Use EGI%",0,IF(ISNUMBER(G49/G50),G49/G50,0)),2)</f>
        <v>0</v>
      </c>
      <c r="H55" s="391">
        <f>ROUND(IF('Feasibility Analysis Worksheet'!$E$12="Use EGI%",0,IF(ISNUMBER(H49/H50),H49/H50,0)),2)</f>
        <v>0</v>
      </c>
      <c r="I55" s="391">
        <f>ROUND(IF('Feasibility Analysis Worksheet'!$E$12="Use EGI%",0,IF(ISNUMBER(I49/I50),I49/I50,0)),2)</f>
        <v>0</v>
      </c>
      <c r="J55" s="391">
        <f>ROUND(IF('Feasibility Analysis Worksheet'!$E$12="Use EGI%",0,IF(ISNUMBER(J49/J50),J49/J50,0)),2)</f>
        <v>0</v>
      </c>
      <c r="K55" s="391">
        <f>ROUND(IF('Feasibility Analysis Worksheet'!$E$12="Use EGI%",0,IF(ISNUMBER(K49/K50),K49/K50,0)),2)</f>
        <v>0</v>
      </c>
      <c r="L55" s="391">
        <f>ROUND(IF('Feasibility Analysis Worksheet'!$E$12="Use EGI%",0,IF(ISNUMBER(L49/L50),L49/L50,0)),2)</f>
        <v>0</v>
      </c>
      <c r="M55" s="391">
        <f>ROUND(IF('Feasibility Analysis Worksheet'!$E$12="Use EGI%",0,IF(ISNUMBER(M49/M50),M49/M50,0)),2)</f>
        <v>0</v>
      </c>
      <c r="N55" s="391">
        <f>ROUND(IF('Feasibility Analysis Worksheet'!$E$12="Use EGI%",0,IF(ISNUMBER(N49/N50),N49/N50,0)),2)</f>
        <v>0</v>
      </c>
      <c r="O55" s="391">
        <f>ROUND(IF('Feasibility Analysis Worksheet'!$E$12="Use EGI%",0,IF(ISNUMBER(O49/O50),O49/O50,0)),2)</f>
        <v>0</v>
      </c>
      <c r="P55" s="391">
        <f>ROUND(IF('Feasibility Analysis Worksheet'!$E$12="Use EGI%",0,IF(ISNUMBER(P49/P50),P49/P50,0)),2)</f>
        <v>0</v>
      </c>
      <c r="Q55" s="391">
        <f>ROUND(IF('Feasibility Analysis Worksheet'!$E$12="Use EGI%",0,IF(ISNUMBER(Q49/Q50),Q49/Q50,0)),2)</f>
        <v>0</v>
      </c>
      <c r="R55" s="391">
        <f>ROUND(IF('Feasibility Analysis Worksheet'!$E$12="Use EGI%",0,IF(ISNUMBER(R49/R50),R49/R50,0)),2)</f>
        <v>0</v>
      </c>
      <c r="S55" s="391">
        <f>ROUND(IF('Feasibility Analysis Worksheet'!$E$12="Use EGI%",0,IF(ISNUMBER(S49/S50),S49/S50,0)),2)</f>
        <v>0</v>
      </c>
      <c r="V55" s="392" t="e">
        <f>S58/E4</f>
        <v>#DIV/0!</v>
      </c>
      <c r="W55" s="322" t="s">
        <v>1381</v>
      </c>
    </row>
    <row r="56" spans="1:23" ht="12.75" customHeight="1" x14ac:dyDescent="0.2">
      <c r="A56" s="1030" t="s">
        <v>636</v>
      </c>
      <c r="B56" s="1030"/>
      <c r="C56" s="1030"/>
      <c r="D56" s="1030"/>
      <c r="E56" s="393">
        <f t="shared" ref="E56:S56" si="56">IF(E55&gt;0,0,IF(E48=0,0,E48/E18))</f>
        <v>0</v>
      </c>
      <c r="F56" s="393">
        <f t="shared" si="56"/>
        <v>0</v>
      </c>
      <c r="G56" s="393">
        <f t="shared" si="56"/>
        <v>0</v>
      </c>
      <c r="H56" s="393">
        <f t="shared" si="56"/>
        <v>0</v>
      </c>
      <c r="I56" s="393">
        <f t="shared" si="56"/>
        <v>0</v>
      </c>
      <c r="J56" s="393">
        <f t="shared" si="56"/>
        <v>0</v>
      </c>
      <c r="K56" s="393">
        <f t="shared" si="56"/>
        <v>0</v>
      </c>
      <c r="L56" s="393">
        <f t="shared" si="56"/>
        <v>0</v>
      </c>
      <c r="M56" s="393">
        <f t="shared" si="56"/>
        <v>0</v>
      </c>
      <c r="N56" s="393">
        <f t="shared" si="56"/>
        <v>0</v>
      </c>
      <c r="O56" s="393">
        <f t="shared" si="56"/>
        <v>0</v>
      </c>
      <c r="P56" s="393">
        <f t="shared" si="56"/>
        <v>0</v>
      </c>
      <c r="Q56" s="393">
        <f t="shared" si="56"/>
        <v>0</v>
      </c>
      <c r="R56" s="393">
        <f t="shared" si="56"/>
        <v>0</v>
      </c>
      <c r="S56" s="393">
        <f t="shared" si="56"/>
        <v>0</v>
      </c>
      <c r="V56" s="394">
        <f>IF(E18=0,0,(E44+E46+E47+E50+E52)/E18)</f>
        <v>0</v>
      </c>
      <c r="W56" s="322" t="s">
        <v>1363</v>
      </c>
    </row>
    <row r="57" spans="1:23" ht="12.75" customHeight="1" x14ac:dyDescent="0.2">
      <c r="A57" s="1059" t="s">
        <v>1554</v>
      </c>
      <c r="B57" s="1060"/>
      <c r="C57" s="1060"/>
      <c r="D57" s="1061"/>
      <c r="E57" s="395">
        <f>('Development Budget Worksheet'!C110+'Development Budget Worksheet'!C111+'Development Budget Worksheet'!C112+'Development Budget Worksheet'!C113)</f>
        <v>0</v>
      </c>
      <c r="F57" s="395">
        <f>E57*(1+$K$5)</f>
        <v>0</v>
      </c>
      <c r="G57" s="395">
        <f t="shared" ref="G57:S57" si="57">F57*(1+$K$5)</f>
        <v>0</v>
      </c>
      <c r="H57" s="395">
        <f t="shared" si="57"/>
        <v>0</v>
      </c>
      <c r="I57" s="395">
        <f t="shared" si="57"/>
        <v>0</v>
      </c>
      <c r="J57" s="395">
        <f>I57*(1+$K$5)</f>
        <v>0</v>
      </c>
      <c r="K57" s="395">
        <f t="shared" si="57"/>
        <v>0</v>
      </c>
      <c r="L57" s="395">
        <f t="shared" si="57"/>
        <v>0</v>
      </c>
      <c r="M57" s="395">
        <f t="shared" si="57"/>
        <v>0</v>
      </c>
      <c r="N57" s="395">
        <f t="shared" si="57"/>
        <v>0</v>
      </c>
      <c r="O57" s="395">
        <f t="shared" si="57"/>
        <v>0</v>
      </c>
      <c r="P57" s="395">
        <f t="shared" si="57"/>
        <v>0</v>
      </c>
      <c r="Q57" s="395">
        <f t="shared" si="57"/>
        <v>0</v>
      </c>
      <c r="R57" s="395">
        <f t="shared" si="57"/>
        <v>0</v>
      </c>
      <c r="S57" s="395">
        <f t="shared" si="57"/>
        <v>0</v>
      </c>
      <c r="V57" s="322" t="e">
        <f>(S58+'Services Pro Forma'!Q47)/('Housing Pro Forma'!E4*15)</f>
        <v>#DIV/0!</v>
      </c>
      <c r="W57" s="322" t="s">
        <v>1382</v>
      </c>
    </row>
    <row r="58" spans="1:23" s="324" customFormat="1" ht="12.75" customHeight="1" x14ac:dyDescent="0.2">
      <c r="A58" s="1027" t="s">
        <v>1633</v>
      </c>
      <c r="B58" s="1028"/>
      <c r="C58" s="1028"/>
      <c r="D58" s="1029"/>
      <c r="E58" s="356">
        <f>E54</f>
        <v>0</v>
      </c>
      <c r="F58" s="356">
        <f>E58+F54</f>
        <v>0</v>
      </c>
      <c r="G58" s="356">
        <f t="shared" ref="G58:S58" si="58">F58+G54</f>
        <v>0</v>
      </c>
      <c r="H58" s="356">
        <f t="shared" si="58"/>
        <v>0</v>
      </c>
      <c r="I58" s="356">
        <f>H58+I54</f>
        <v>0</v>
      </c>
      <c r="J58" s="356">
        <f t="shared" si="58"/>
        <v>0</v>
      </c>
      <c r="K58" s="356">
        <f t="shared" si="58"/>
        <v>0</v>
      </c>
      <c r="L58" s="356">
        <f t="shared" si="58"/>
        <v>0</v>
      </c>
      <c r="M58" s="356">
        <f t="shared" si="58"/>
        <v>0</v>
      </c>
      <c r="N58" s="356">
        <f t="shared" si="58"/>
        <v>0</v>
      </c>
      <c r="O58" s="356">
        <f t="shared" si="58"/>
        <v>0</v>
      </c>
      <c r="P58" s="356">
        <f t="shared" si="58"/>
        <v>0</v>
      </c>
      <c r="Q58" s="356">
        <f t="shared" si="58"/>
        <v>0</v>
      </c>
      <c r="R58" s="356">
        <f t="shared" si="58"/>
        <v>0</v>
      </c>
      <c r="S58" s="356">
        <f t="shared" si="58"/>
        <v>0</v>
      </c>
      <c r="V58" s="396">
        <f>S58+'Services Pro Forma'!Q47</f>
        <v>0</v>
      </c>
      <c r="W58" s="324" t="s">
        <v>1399</v>
      </c>
    </row>
    <row r="59" spans="1:23" s="324" customFormat="1" ht="10.5" customHeight="1" x14ac:dyDescent="0.2">
      <c r="A59" s="1027" t="s">
        <v>1634</v>
      </c>
      <c r="B59" s="1028"/>
      <c r="C59" s="1028"/>
      <c r="D59" s="1029"/>
      <c r="E59" s="356">
        <f>E51</f>
        <v>0</v>
      </c>
      <c r="F59" s="356">
        <f>E59+F51</f>
        <v>0</v>
      </c>
      <c r="G59" s="356">
        <f t="shared" ref="G59:S59" si="59">F59+G51</f>
        <v>0</v>
      </c>
      <c r="H59" s="356">
        <f t="shared" si="59"/>
        <v>0</v>
      </c>
      <c r="I59" s="356">
        <f t="shared" si="59"/>
        <v>0</v>
      </c>
      <c r="J59" s="356">
        <f t="shared" si="59"/>
        <v>0</v>
      </c>
      <c r="K59" s="356">
        <f t="shared" si="59"/>
        <v>0</v>
      </c>
      <c r="L59" s="356">
        <f t="shared" si="59"/>
        <v>0</v>
      </c>
      <c r="M59" s="356">
        <f t="shared" si="59"/>
        <v>0</v>
      </c>
      <c r="N59" s="356">
        <f t="shared" si="59"/>
        <v>0</v>
      </c>
      <c r="O59" s="356">
        <f t="shared" si="59"/>
        <v>0</v>
      </c>
      <c r="P59" s="356">
        <f t="shared" si="59"/>
        <v>0</v>
      </c>
      <c r="Q59" s="356">
        <f t="shared" si="59"/>
        <v>0</v>
      </c>
      <c r="R59" s="356">
        <f t="shared" si="59"/>
        <v>0</v>
      </c>
      <c r="S59" s="356">
        <f t="shared" si="59"/>
        <v>0</v>
      </c>
    </row>
    <row r="60" spans="1:23" x14ac:dyDescent="0.2">
      <c r="A60" s="321"/>
      <c r="B60" s="321"/>
      <c r="C60" s="321"/>
      <c r="D60" s="324"/>
      <c r="E60" s="324"/>
      <c r="F60" s="324"/>
      <c r="G60" s="324"/>
      <c r="H60" s="324"/>
      <c r="I60" s="324"/>
      <c r="J60" s="324"/>
      <c r="K60" s="324"/>
      <c r="L60" s="324"/>
      <c r="M60" s="324"/>
      <c r="N60" s="324"/>
      <c r="O60" s="324"/>
      <c r="P60" s="324"/>
      <c r="Q60" s="397"/>
      <c r="R60" s="398"/>
    </row>
    <row r="61" spans="1:23" ht="13.5" thickBot="1" x14ac:dyDescent="0.25">
      <c r="A61" s="399" t="s">
        <v>1502</v>
      </c>
      <c r="B61" s="399"/>
      <c r="C61" s="399"/>
      <c r="D61" s="330"/>
      <c r="E61" s="330"/>
      <c r="F61" s="330"/>
      <c r="G61" s="400"/>
      <c r="H61" s="330"/>
      <c r="I61" s="330"/>
      <c r="V61" s="322" t="e">
        <f>E54/E18</f>
        <v>#DIV/0!</v>
      </c>
      <c r="W61" s="322" t="s">
        <v>1415</v>
      </c>
    </row>
    <row r="62" spans="1:23" ht="10.5" customHeight="1" x14ac:dyDescent="0.2">
      <c r="A62" s="921"/>
      <c r="B62" s="1044"/>
      <c r="C62" s="1044"/>
      <c r="D62" s="1044"/>
      <c r="E62" s="1044"/>
      <c r="F62" s="1044"/>
      <c r="G62" s="1044"/>
      <c r="H62" s="1044"/>
      <c r="I62" s="1044"/>
      <c r="J62" s="1044"/>
      <c r="K62" s="1044"/>
      <c r="L62" s="1044"/>
      <c r="M62" s="1044"/>
      <c r="N62" s="1044"/>
      <c r="O62" s="1044"/>
      <c r="P62" s="1044"/>
      <c r="Q62" s="1044"/>
      <c r="R62" s="1044"/>
      <c r="S62" s="1045"/>
    </row>
    <row r="63" spans="1:23" ht="10.5" customHeight="1" x14ac:dyDescent="0.2">
      <c r="A63" s="1046"/>
      <c r="B63" s="1047"/>
      <c r="C63" s="1047"/>
      <c r="D63" s="1047"/>
      <c r="E63" s="1047"/>
      <c r="F63" s="1047"/>
      <c r="G63" s="1047"/>
      <c r="H63" s="1047"/>
      <c r="I63" s="1047"/>
      <c r="J63" s="1047"/>
      <c r="K63" s="1047"/>
      <c r="L63" s="1047"/>
      <c r="M63" s="1047"/>
      <c r="N63" s="1047"/>
      <c r="O63" s="1047"/>
      <c r="P63" s="1047"/>
      <c r="Q63" s="1047"/>
      <c r="R63" s="1047"/>
      <c r="S63" s="1048"/>
    </row>
    <row r="64" spans="1:23" ht="10.5" customHeight="1" x14ac:dyDescent="0.2">
      <c r="A64" s="1046"/>
      <c r="B64" s="1047"/>
      <c r="C64" s="1047"/>
      <c r="D64" s="1047"/>
      <c r="E64" s="1047"/>
      <c r="F64" s="1047"/>
      <c r="G64" s="1047"/>
      <c r="H64" s="1047"/>
      <c r="I64" s="1047"/>
      <c r="J64" s="1047"/>
      <c r="K64" s="1047"/>
      <c r="L64" s="1047"/>
      <c r="M64" s="1047"/>
      <c r="N64" s="1047"/>
      <c r="O64" s="1047"/>
      <c r="P64" s="1047"/>
      <c r="Q64" s="1047"/>
      <c r="R64" s="1047"/>
      <c r="S64" s="1048"/>
    </row>
    <row r="65" spans="1:19" ht="10.5" customHeight="1" x14ac:dyDescent="0.2">
      <c r="A65" s="1046"/>
      <c r="B65" s="1047"/>
      <c r="C65" s="1047"/>
      <c r="D65" s="1047"/>
      <c r="E65" s="1047"/>
      <c r="F65" s="1047"/>
      <c r="G65" s="1047"/>
      <c r="H65" s="1047"/>
      <c r="I65" s="1047"/>
      <c r="J65" s="1047"/>
      <c r="K65" s="1047"/>
      <c r="L65" s="1047"/>
      <c r="M65" s="1047"/>
      <c r="N65" s="1047"/>
      <c r="O65" s="1047"/>
      <c r="P65" s="1047"/>
      <c r="Q65" s="1047"/>
      <c r="R65" s="1047"/>
      <c r="S65" s="1048"/>
    </row>
    <row r="66" spans="1:19" ht="11.25" customHeight="1" thickBot="1" x14ac:dyDescent="0.25">
      <c r="A66" s="1049"/>
      <c r="B66" s="1050"/>
      <c r="C66" s="1050"/>
      <c r="D66" s="1050"/>
      <c r="E66" s="1050"/>
      <c r="F66" s="1050"/>
      <c r="G66" s="1050"/>
      <c r="H66" s="1050"/>
      <c r="I66" s="1050"/>
      <c r="J66" s="1050"/>
      <c r="K66" s="1050"/>
      <c r="L66" s="1050"/>
      <c r="M66" s="1050"/>
      <c r="N66" s="1050"/>
      <c r="O66" s="1050"/>
      <c r="P66" s="1050"/>
      <c r="Q66" s="1050"/>
      <c r="R66" s="1050"/>
      <c r="S66" s="1051"/>
    </row>
    <row r="68" spans="1:19" x14ac:dyDescent="0.2">
      <c r="A68" s="401">
        <f>'Feasibility Analysis Worksheet'!F7</f>
        <v>0</v>
      </c>
    </row>
  </sheetData>
  <sheetProtection algorithmName="SHA-512" hashValue="K6N4YmHU+NsdO9Hjb3YRWBPTjabNNWZFXNm7w8iJKM+vBCF0BXLr5SzqntmNw/ln7aP1eZE3DUuZU8sK2SRhUg==" saltValue="oRAXZxOnXmmId1DeAfPZ4w==" spinCount="100000" sheet="1" selectLockedCells="1"/>
  <customSheetViews>
    <customSheetView guid="{695F2D09-97F7-4A62-ACE9-B0C2EFD91E95}" showGridLines="0" hiddenColumns="1" topLeftCell="A4">
      <selection activeCell="E5" sqref="E5"/>
      <pageMargins left="0.7" right="0.7" top="0.75" bottom="0.75" header="0.3" footer="0.3"/>
      <printOptions horizontalCentered="1" verticalCentered="1"/>
      <pageSetup scale="57" fitToHeight="0" orientation="landscape" blackAndWhite="1" r:id="rId1"/>
      <headerFooter>
        <oddHeader>&amp;C&amp;"Arial,Bold"&amp;11FHLBank Topeka - Affordable Housing Program 
&amp;A&amp;R&amp;D</oddHeader>
        <oddFooter>&amp;LRevised 3/17/15</oddFooter>
      </headerFooter>
    </customSheetView>
  </customSheetViews>
  <mergeCells count="55">
    <mergeCell ref="H2:Q2"/>
    <mergeCell ref="K3:N3"/>
    <mergeCell ref="A44:C44"/>
    <mergeCell ref="B14:C14"/>
    <mergeCell ref="B15:C15"/>
    <mergeCell ref="A10:C10"/>
    <mergeCell ref="A16:C16"/>
    <mergeCell ref="A17:C17"/>
    <mergeCell ref="A11:C11"/>
    <mergeCell ref="A13:C13"/>
    <mergeCell ref="A12:C12"/>
    <mergeCell ref="B40:C40"/>
    <mergeCell ref="A18:C18"/>
    <mergeCell ref="A19:C19"/>
    <mergeCell ref="A45:B45"/>
    <mergeCell ref="A42:C42"/>
    <mergeCell ref="B43:C43"/>
    <mergeCell ref="C45:D45"/>
    <mergeCell ref="A21:C21"/>
    <mergeCell ref="A28:C28"/>
    <mergeCell ref="A29:C29"/>
    <mergeCell ref="A27:C27"/>
    <mergeCell ref="A26:C26"/>
    <mergeCell ref="A25:C25"/>
    <mergeCell ref="A24:C24"/>
    <mergeCell ref="A23:C23"/>
    <mergeCell ref="A22:C22"/>
    <mergeCell ref="A62:S66"/>
    <mergeCell ref="N5:P5"/>
    <mergeCell ref="I4:M4"/>
    <mergeCell ref="A8:B8"/>
    <mergeCell ref="A32:C32"/>
    <mergeCell ref="A31:C31"/>
    <mergeCell ref="A30:C30"/>
    <mergeCell ref="A37:C37"/>
    <mergeCell ref="A36:C36"/>
    <mergeCell ref="A35:C35"/>
    <mergeCell ref="A34:C34"/>
    <mergeCell ref="A33:C33"/>
    <mergeCell ref="A41:C41"/>
    <mergeCell ref="B39:C39"/>
    <mergeCell ref="A57:D57"/>
    <mergeCell ref="A55:D55"/>
    <mergeCell ref="A59:D59"/>
    <mergeCell ref="A56:D56"/>
    <mergeCell ref="B47:C47"/>
    <mergeCell ref="A46:C46"/>
    <mergeCell ref="A48:D48"/>
    <mergeCell ref="A54:D54"/>
    <mergeCell ref="A49:D49"/>
    <mergeCell ref="A50:D50"/>
    <mergeCell ref="A52:D52"/>
    <mergeCell ref="A51:D51"/>
    <mergeCell ref="A53:D53"/>
    <mergeCell ref="A58:D58"/>
  </mergeCells>
  <phoneticPr fontId="12" type="noConversion"/>
  <conditionalFormatting sqref="A13">
    <cfRule type="expression" dxfId="43" priority="86" stopIfTrue="1">
      <formula>T13&lt;&gt;""</formula>
    </cfRule>
  </conditionalFormatting>
  <conditionalFormatting sqref="A13:A15">
    <cfRule type="expression" dxfId="42" priority="104" stopIfTrue="1">
      <formula>T13&lt;&gt;""</formula>
    </cfRule>
  </conditionalFormatting>
  <conditionalFormatting sqref="A39">
    <cfRule type="expression" dxfId="41" priority="90" stopIfTrue="1">
      <formula>AND($A$39="   S. Other:  (specify)",$E$39&gt;0)</formula>
    </cfRule>
  </conditionalFormatting>
  <conditionalFormatting sqref="A39:A40 A43 A47 A13:A15">
    <cfRule type="expression" dxfId="40" priority="102" stopIfTrue="1">
      <formula>AND($A$37="   R. Other: (specify)",$E$37&gt;0)</formula>
    </cfRule>
  </conditionalFormatting>
  <conditionalFormatting sqref="A40">
    <cfRule type="expression" dxfId="39" priority="89" stopIfTrue="1">
      <formula>AND($A$40="   T. Other:  (specify)",$E$40&gt;0)</formula>
    </cfRule>
  </conditionalFormatting>
  <conditionalFormatting sqref="A43">
    <cfRule type="expression" dxfId="38" priority="88" stopIfTrue="1">
      <formula>AND($A$43="   W. Other:  (specify)",$E$43&gt;0)</formula>
    </cfRule>
  </conditionalFormatting>
  <conditionalFormatting sqref="A47">
    <cfRule type="expression" dxfId="37" priority="87" stopIfTrue="1">
      <formula>AND($A$47="   C. Other:  (specify)",$E$47&gt;0)</formula>
    </cfRule>
  </conditionalFormatting>
  <conditionalFormatting sqref="B14:C15">
    <cfRule type="expression" dxfId="36" priority="11">
      <formula>AND(B14:C14="",$E14&lt;&gt;"")</formula>
    </cfRule>
  </conditionalFormatting>
  <conditionalFormatting sqref="B39:C40">
    <cfRule type="expression" dxfId="35" priority="26">
      <formula>AND(B39:C39="",$E39&lt;&gt;"")</formula>
    </cfRule>
  </conditionalFormatting>
  <conditionalFormatting sqref="B43:C43">
    <cfRule type="expression" dxfId="34" priority="21">
      <formula>AND(B43:C43="",$E43&lt;&gt;"")</formula>
    </cfRule>
  </conditionalFormatting>
  <conditionalFormatting sqref="B47:C47">
    <cfRule type="expression" dxfId="33" priority="12">
      <formula>AND(B47:C47="",$E47&lt;&gt;"")</formula>
    </cfRule>
  </conditionalFormatting>
  <conditionalFormatting sqref="C20">
    <cfRule type="cellIs" dxfId="32" priority="116" operator="greaterThan">
      <formula>$A$68</formula>
    </cfRule>
  </conditionalFormatting>
  <conditionalFormatting sqref="D44">
    <cfRule type="cellIs" dxfId="31" priority="8" operator="equal">
      <formula>""</formula>
    </cfRule>
    <cfRule type="cellIs" dxfId="30" priority="10" operator="notBetween">
      <formula>3200</formula>
      <formula>6000</formula>
    </cfRule>
  </conditionalFormatting>
  <conditionalFormatting sqref="E55:S55">
    <cfRule type="cellIs" dxfId="29" priority="2" operator="lessThan">
      <formula>1.05</formula>
    </cfRule>
    <cfRule type="cellIs" dxfId="28" priority="3" operator="greaterThan">
      <formula>1.5</formula>
    </cfRule>
  </conditionalFormatting>
  <conditionalFormatting sqref="E55:S56">
    <cfRule type="cellIs" priority="1" stopIfTrue="1" operator="equal">
      <formula>0</formula>
    </cfRule>
  </conditionalFormatting>
  <conditionalFormatting sqref="E56:S56">
    <cfRule type="cellIs" dxfId="27" priority="5" operator="lessThan">
      <formula>0.85</formula>
    </cfRule>
    <cfRule type="cellIs" dxfId="26" priority="6" operator="greaterThan">
      <formula>1</formula>
    </cfRule>
  </conditionalFormatting>
  <conditionalFormatting sqref="G61">
    <cfRule type="containsErrors" dxfId="25" priority="78">
      <formula>ISERROR(G61)</formula>
    </cfRule>
  </conditionalFormatting>
  <dataValidations xWindow="467" yWindow="276" count="5">
    <dataValidation allowBlank="1" showInputMessage="1" showErrorMessage="1" promptTitle="Explanation" prompt="Enter an explanation for any values that may need more detail. More detail is needed if a cost is lower or higher than normal, or if it is outside the maximum limits designated by FHLB or other funding source the project may be using (i.e. LIHTC)." sqref="A62:C62" xr:uid="{00000000-0002-0000-0900-000000000000}"/>
    <dataValidation type="decimal" operator="greaterThanOrEqual" allowBlank="1" showInputMessage="1" showErrorMessage="1" sqref="E11:E15 E20:E43 E46:E47 E53" xr:uid="{00000000-0002-0000-0900-000001000000}">
      <formula1>0</formula1>
    </dataValidation>
    <dataValidation type="decimal" allowBlank="1" showInputMessage="1" showErrorMessage="1" errorTitle="Vacancy Rate" error="Vacancy rate must be between 0% and 7%." promptTitle="Vacancy Rate" prompt="Enter a vacancy rate up to and including 7%" sqref="E5" xr:uid="{00000000-0002-0000-0900-000002000000}">
      <formula1>0</formula1>
      <formula2>0.07</formula2>
    </dataValidation>
    <dataValidation type="decimal" allowBlank="1" showInputMessage="1" showErrorMessage="1" error="Interest rate above 2% is not allowed." sqref="K5" xr:uid="{00000000-0002-0000-0900-000003000000}">
      <formula1>0</formula1>
      <formula2>0.02</formula2>
    </dataValidation>
    <dataValidation type="decimal" allowBlank="1" showInputMessage="1" showErrorMessage="1" errorTitle="Vacancy Rate" error="Vacancy rate must not exceed 7%." promptTitle="Vacancy Rate" prompt="Enter a vacancy rate up to and including 7%" sqref="E6" xr:uid="{00000000-0002-0000-0900-000004000000}">
      <formula1>0</formula1>
      <formula2>0.07</formula2>
    </dataValidation>
  </dataValidations>
  <printOptions horizontalCentered="1" verticalCentered="1"/>
  <pageMargins left="0.7" right="0.7" top="0.75" bottom="0.75" header="0.3" footer="0.3"/>
  <pageSetup scale="56" fitToHeight="0" orientation="landscape" r:id="rId2"/>
  <headerFooter>
    <oddHeader>&amp;C&amp;"Arial,Bold"&amp;11FHLBank Topeka - Affordable Housing Program 
&amp;A&amp;R&amp;D</oddHeader>
  </headerFooter>
  <ignoredErrors>
    <ignoredError sqref="F11:F14 G11:S11 F10:S10 F21:S25 F34:S35 F39:S43 F27:S32 F26:G26 I26:S26 F36:G36 I36:K36 G13 G12:H12 G14:S14 F15:S15 I12:S13 F37:S37 M36:S36 F53:M53 F46:S46 F47:S47 N53:S53 E52:S52" unlockedFormula="1"/>
    <ignoredError sqref="F33:S33" formula="1"/>
  </ignoredErrors>
  <legacyDrawing r:id="rId3"/>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Sheet16">
    <tabColor theme="5" tint="0.39997558519241921"/>
  </sheetPr>
  <dimension ref="A1:V55"/>
  <sheetViews>
    <sheetView showGridLines="0" topLeftCell="B1" zoomScaleNormal="100" zoomScaleSheetLayoutView="80" workbookViewId="0">
      <selection activeCell="D10" sqref="D10"/>
    </sheetView>
  </sheetViews>
  <sheetFormatPr defaultColWidth="7.85546875" defaultRowHeight="11.25" x14ac:dyDescent="0.2"/>
  <cols>
    <col min="1" max="1" width="16.28515625" style="252" customWidth="1"/>
    <col min="2" max="2" width="16.85546875" style="252" customWidth="1"/>
    <col min="3" max="17" width="9.5703125" style="252" customWidth="1"/>
    <col min="18" max="18" width="9.7109375" style="252" hidden="1" customWidth="1"/>
    <col min="19" max="19" width="8.42578125" style="267" hidden="1" customWidth="1"/>
    <col min="20" max="20" width="8" style="252" hidden="1" customWidth="1"/>
    <col min="21" max="21" width="10.140625" style="252" customWidth="1"/>
    <col min="22" max="22" width="15.42578125" style="252" customWidth="1"/>
    <col min="23" max="23" width="7.85546875" style="252"/>
    <col min="24" max="24" width="9.28515625" style="252" bestFit="1" customWidth="1"/>
    <col min="25" max="16384" width="7.85546875" style="252"/>
  </cols>
  <sheetData>
    <row r="1" spans="1:22" x14ac:dyDescent="0.2">
      <c r="S1" s="252"/>
    </row>
    <row r="2" spans="1:22" ht="12.75" customHeight="1" x14ac:dyDescent="0.2">
      <c r="A2" s="984" t="s">
        <v>184</v>
      </c>
      <c r="B2" s="984"/>
      <c r="C2" s="984"/>
      <c r="D2" s="984"/>
      <c r="E2" s="984"/>
      <c r="F2" s="984"/>
      <c r="G2" s="984"/>
      <c r="H2" s="984"/>
      <c r="I2" s="984"/>
      <c r="J2" s="984"/>
      <c r="K2" s="984"/>
      <c r="L2" s="984"/>
      <c r="M2" s="984"/>
      <c r="N2" s="984"/>
      <c r="O2" s="984"/>
      <c r="P2" s="984"/>
      <c r="Q2" s="984"/>
      <c r="R2" s="253"/>
      <c r="S2" s="253"/>
    </row>
    <row r="3" spans="1:22" ht="12.75" customHeight="1" x14ac:dyDescent="0.2">
      <c r="A3" s="984" t="s">
        <v>613</v>
      </c>
      <c r="B3" s="984"/>
      <c r="C3" s="984"/>
      <c r="D3" s="984"/>
      <c r="E3" s="984"/>
      <c r="F3" s="984"/>
      <c r="G3" s="984"/>
      <c r="H3" s="984"/>
      <c r="I3" s="984"/>
      <c r="J3" s="984"/>
      <c r="K3" s="984"/>
      <c r="L3" s="984"/>
      <c r="M3" s="984"/>
      <c r="N3" s="984"/>
      <c r="O3" s="984"/>
      <c r="P3" s="984"/>
      <c r="Q3" s="984"/>
      <c r="R3" s="253"/>
      <c r="S3" s="253"/>
    </row>
    <row r="4" spans="1:22" ht="12.75" customHeight="1" x14ac:dyDescent="0.2">
      <c r="A4" s="1072" t="s">
        <v>71</v>
      </c>
      <c r="B4" s="1072"/>
      <c r="C4" s="1072"/>
      <c r="D4" s="197"/>
      <c r="E4" s="197"/>
      <c r="H4" s="103"/>
      <c r="I4" s="103"/>
      <c r="J4" s="103"/>
      <c r="K4" s="103"/>
      <c r="L4" s="253"/>
      <c r="M4" s="253"/>
      <c r="N4" s="253"/>
      <c r="O4" s="254"/>
      <c r="P4" s="254"/>
      <c r="Q4" s="254"/>
      <c r="R4" s="253"/>
      <c r="S4" s="253"/>
    </row>
    <row r="5" spans="1:22" ht="12.75" customHeight="1" x14ac:dyDescent="0.2">
      <c r="A5" s="291" t="s">
        <v>726</v>
      </c>
      <c r="B5" s="291"/>
      <c r="C5" s="291"/>
      <c r="D5" s="291"/>
      <c r="E5" s="291"/>
      <c r="F5" s="291"/>
      <c r="G5" s="255"/>
      <c r="H5" s="103"/>
      <c r="I5" s="103"/>
      <c r="J5" s="103"/>
      <c r="K5" s="103"/>
      <c r="L5" s="253"/>
      <c r="M5" s="253"/>
      <c r="N5" s="253"/>
      <c r="O5" s="254"/>
      <c r="P5" s="254"/>
      <c r="Q5" s="254"/>
      <c r="R5" s="253"/>
      <c r="S5" s="253"/>
    </row>
    <row r="6" spans="1:22" ht="12.75" customHeight="1" x14ac:dyDescent="0.2">
      <c r="A6" s="292" t="s">
        <v>106</v>
      </c>
      <c r="B6" s="292"/>
      <c r="C6" s="292"/>
      <c r="D6" s="292"/>
      <c r="E6" s="292"/>
      <c r="F6" s="292"/>
      <c r="G6" s="292"/>
      <c r="H6" s="292"/>
      <c r="I6" s="292"/>
      <c r="J6" s="103"/>
      <c r="K6" s="103"/>
      <c r="L6" s="253"/>
      <c r="M6" s="253"/>
      <c r="N6" s="253"/>
      <c r="O6" s="254"/>
      <c r="P6" s="254"/>
      <c r="Q6" s="254"/>
      <c r="R6" s="253"/>
      <c r="S6" s="253"/>
    </row>
    <row r="7" spans="1:22" s="257" customFormat="1" x14ac:dyDescent="0.2">
      <c r="A7" s="256"/>
      <c r="B7" s="256"/>
      <c r="C7" s="256"/>
      <c r="D7" s="256"/>
      <c r="E7" s="256"/>
      <c r="F7" s="256"/>
      <c r="G7" s="256"/>
      <c r="H7" s="256"/>
      <c r="I7" s="256"/>
      <c r="K7" s="258"/>
      <c r="L7" s="258"/>
      <c r="M7" s="258"/>
      <c r="N7" s="258"/>
      <c r="O7" s="259"/>
      <c r="P7" s="259"/>
      <c r="Q7" s="259"/>
      <c r="R7" s="259"/>
      <c r="S7" s="259"/>
    </row>
    <row r="8" spans="1:22" ht="14.25" customHeight="1" x14ac:dyDescent="0.2">
      <c r="A8" s="260" t="s">
        <v>50</v>
      </c>
      <c r="B8" s="261"/>
      <c r="D8" s="250">
        <f>'Rental Project Worksheet'!D60</f>
        <v>0</v>
      </c>
      <c r="F8" s="20"/>
      <c r="H8" s="1086" t="str">
        <f>'Housing Pro Forma'!I4</f>
        <v/>
      </c>
      <c r="I8" s="1086"/>
      <c r="J8" s="1086"/>
      <c r="K8" s="1086"/>
      <c r="L8" s="1086"/>
      <c r="M8" s="262"/>
      <c r="Q8" s="263"/>
      <c r="S8" s="264"/>
      <c r="T8" s="252" t="s">
        <v>126</v>
      </c>
      <c r="U8" s="265"/>
      <c r="V8" s="265"/>
    </row>
    <row r="9" spans="1:22" ht="11.25" customHeight="1" x14ac:dyDescent="0.2">
      <c r="C9" s="266" t="s">
        <v>611</v>
      </c>
      <c r="D9" s="251">
        <f>'Project Information'!C12</f>
        <v>0</v>
      </c>
      <c r="F9" s="262"/>
      <c r="G9" s="262"/>
    </row>
    <row r="10" spans="1:22" s="191" customFormat="1" ht="11.25" customHeight="1" x14ac:dyDescent="0.2">
      <c r="C10" s="266" t="s">
        <v>612</v>
      </c>
      <c r="D10" s="249"/>
      <c r="J10" s="266" t="s">
        <v>102</v>
      </c>
      <c r="K10" s="268"/>
      <c r="M10" s="266" t="s">
        <v>104</v>
      </c>
      <c r="N10" s="268"/>
      <c r="O10" s="806" t="s">
        <v>1756</v>
      </c>
      <c r="P10" s="1092" t="str">
        <f>IF(Date="","",Date)</f>
        <v/>
      </c>
      <c r="Q10" s="1092"/>
      <c r="S10" s="269"/>
      <c r="T10" s="270">
        <v>0.01</v>
      </c>
    </row>
    <row r="11" spans="1:22" s="191" customFormat="1" ht="38.25" customHeight="1" x14ac:dyDescent="0.2">
      <c r="A11" s="1089" t="str">
        <f>IF(D10="Yes","Service expenses CANNOT be included on the Housing Pro Forma. Remove services expenses from the Housing Pro Forma. If this is a Supportive Service Type facility, include on Services Pro Forma only.","")</f>
        <v/>
      </c>
      <c r="B11" s="1089"/>
      <c r="C11" s="1089"/>
      <c r="D11" s="1089"/>
      <c r="E11" s="1089"/>
      <c r="F11" s="1089"/>
      <c r="G11" s="110"/>
      <c r="H11" s="110"/>
      <c r="I11" s="110"/>
      <c r="J11" s="110"/>
      <c r="K11" s="110"/>
      <c r="L11" s="110"/>
      <c r="M11" s="110"/>
      <c r="N11" s="110"/>
      <c r="O11" s="110"/>
      <c r="P11" s="110"/>
      <c r="Q11" s="110"/>
      <c r="R11" s="110"/>
      <c r="S11" s="269"/>
      <c r="T11" s="270">
        <v>0.02</v>
      </c>
    </row>
    <row r="12" spans="1:22" s="191" customFormat="1" ht="14.25" customHeight="1" x14ac:dyDescent="0.2">
      <c r="A12" s="271" t="str">
        <f>IF(AND(D10="No",D9="No"),"You do not need to fill this worksheet out. Proceed to next tab.","")</f>
        <v/>
      </c>
      <c r="D12" s="110"/>
      <c r="E12" s="110"/>
      <c r="F12" s="110"/>
      <c r="G12" s="110"/>
      <c r="H12" s="110"/>
      <c r="I12" s="110"/>
      <c r="J12" s="110"/>
      <c r="K12" s="110"/>
      <c r="L12" s="110"/>
      <c r="M12" s="110"/>
      <c r="N12" s="110"/>
      <c r="O12" s="110"/>
      <c r="P12" s="110"/>
      <c r="Q12" s="110"/>
      <c r="R12" s="110"/>
      <c r="S12" s="269"/>
      <c r="T12" s="270"/>
    </row>
    <row r="13" spans="1:22" ht="12.75" customHeight="1" x14ac:dyDescent="0.2">
      <c r="A13" s="1087"/>
      <c r="B13" s="1088"/>
      <c r="C13" s="272" t="s">
        <v>51</v>
      </c>
      <c r="D13" s="272" t="s">
        <v>52</v>
      </c>
      <c r="E13" s="272" t="s">
        <v>53</v>
      </c>
      <c r="F13" s="272" t="s">
        <v>54</v>
      </c>
      <c r="G13" s="272" t="s">
        <v>55</v>
      </c>
      <c r="H13" s="272" t="s">
        <v>56</v>
      </c>
      <c r="I13" s="272" t="s">
        <v>57</v>
      </c>
      <c r="J13" s="272" t="s">
        <v>58</v>
      </c>
      <c r="K13" s="272" t="s">
        <v>59</v>
      </c>
      <c r="L13" s="272" t="s">
        <v>60</v>
      </c>
      <c r="M13" s="272" t="s">
        <v>61</v>
      </c>
      <c r="N13" s="272" t="s">
        <v>62</v>
      </c>
      <c r="O13" s="272" t="s">
        <v>63</v>
      </c>
      <c r="P13" s="272" t="s">
        <v>64</v>
      </c>
      <c r="Q13" s="272" t="s">
        <v>65</v>
      </c>
      <c r="S13" s="273">
        <v>0.03</v>
      </c>
    </row>
    <row r="14" spans="1:22" ht="12.75" customHeight="1" x14ac:dyDescent="0.2">
      <c r="A14" s="274" t="s">
        <v>616</v>
      </c>
      <c r="B14" s="275"/>
      <c r="C14" s="255"/>
      <c r="D14" s="106"/>
      <c r="E14" s="255"/>
      <c r="F14" s="255"/>
      <c r="G14" s="276"/>
      <c r="L14" s="277"/>
      <c r="M14" s="277"/>
      <c r="N14" s="277"/>
      <c r="O14" s="277"/>
      <c r="P14" s="277"/>
      <c r="Q14" s="277"/>
      <c r="S14" s="273">
        <v>0.04</v>
      </c>
    </row>
    <row r="15" spans="1:22" ht="12.75" customHeight="1" x14ac:dyDescent="0.2">
      <c r="A15" s="278" t="s">
        <v>608</v>
      </c>
      <c r="B15" s="279" t="s">
        <v>597</v>
      </c>
      <c r="C15" s="280"/>
      <c r="D15" s="281">
        <f t="shared" ref="D15:Q15" si="0">C15*(1+$K$10)</f>
        <v>0</v>
      </c>
      <c r="E15" s="281">
        <f t="shared" si="0"/>
        <v>0</v>
      </c>
      <c r="F15" s="281">
        <f t="shared" si="0"/>
        <v>0</v>
      </c>
      <c r="G15" s="281">
        <f t="shared" si="0"/>
        <v>0</v>
      </c>
      <c r="H15" s="281">
        <f t="shared" si="0"/>
        <v>0</v>
      </c>
      <c r="I15" s="281">
        <f t="shared" si="0"/>
        <v>0</v>
      </c>
      <c r="J15" s="281">
        <f t="shared" si="0"/>
        <v>0</v>
      </c>
      <c r="K15" s="281">
        <f t="shared" si="0"/>
        <v>0</v>
      </c>
      <c r="L15" s="281">
        <f t="shared" si="0"/>
        <v>0</v>
      </c>
      <c r="M15" s="281">
        <f t="shared" si="0"/>
        <v>0</v>
      </c>
      <c r="N15" s="281">
        <f t="shared" si="0"/>
        <v>0</v>
      </c>
      <c r="O15" s="281">
        <f t="shared" si="0"/>
        <v>0</v>
      </c>
      <c r="P15" s="281">
        <f t="shared" si="0"/>
        <v>0</v>
      </c>
      <c r="Q15" s="281">
        <f t="shared" si="0"/>
        <v>0</v>
      </c>
      <c r="R15" s="282" t="str">
        <f>IF(OR(AND(C15&lt;&gt;0,A15="D. Other Income:"),AND(C15&lt;&gt;0,A15="")),"Error:  Describe Source of Other Income","")</f>
        <v/>
      </c>
    </row>
    <row r="16" spans="1:22" ht="12.75" customHeight="1" x14ac:dyDescent="0.2">
      <c r="A16" s="278" t="s">
        <v>608</v>
      </c>
      <c r="B16" s="279" t="s">
        <v>597</v>
      </c>
      <c r="C16" s="280"/>
      <c r="D16" s="283">
        <f t="shared" ref="D16:Q16" si="1">C16*(1+$K$10)</f>
        <v>0</v>
      </c>
      <c r="E16" s="283">
        <f t="shared" si="1"/>
        <v>0</v>
      </c>
      <c r="F16" s="283">
        <f t="shared" si="1"/>
        <v>0</v>
      </c>
      <c r="G16" s="283">
        <f t="shared" si="1"/>
        <v>0</v>
      </c>
      <c r="H16" s="283">
        <f t="shared" si="1"/>
        <v>0</v>
      </c>
      <c r="I16" s="283">
        <f t="shared" si="1"/>
        <v>0</v>
      </c>
      <c r="J16" s="283">
        <f t="shared" si="1"/>
        <v>0</v>
      </c>
      <c r="K16" s="283">
        <f t="shared" si="1"/>
        <v>0</v>
      </c>
      <c r="L16" s="283">
        <f t="shared" si="1"/>
        <v>0</v>
      </c>
      <c r="M16" s="283">
        <f t="shared" si="1"/>
        <v>0</v>
      </c>
      <c r="N16" s="283">
        <f t="shared" si="1"/>
        <v>0</v>
      </c>
      <c r="O16" s="283">
        <f t="shared" si="1"/>
        <v>0</v>
      </c>
      <c r="P16" s="283">
        <f t="shared" si="1"/>
        <v>0</v>
      </c>
      <c r="Q16" s="283">
        <f t="shared" si="1"/>
        <v>0</v>
      </c>
      <c r="R16" s="282" t="str">
        <f>IF(OR(AND(C16&lt;&gt;0,A16="E. Other Income:"),AND(C16&lt;&gt;0,A16="")),"Error:  Describe Source of Other Income","")</f>
        <v/>
      </c>
    </row>
    <row r="17" spans="1:18" ht="12.75" customHeight="1" x14ac:dyDescent="0.2">
      <c r="A17" s="278" t="s">
        <v>608</v>
      </c>
      <c r="B17" s="279" t="s">
        <v>597</v>
      </c>
      <c r="C17" s="280"/>
      <c r="D17" s="283">
        <f t="shared" ref="D17:Q17" si="2">C17*(1+$K$10)</f>
        <v>0</v>
      </c>
      <c r="E17" s="283">
        <f t="shared" si="2"/>
        <v>0</v>
      </c>
      <c r="F17" s="283">
        <f t="shared" si="2"/>
        <v>0</v>
      </c>
      <c r="G17" s="283">
        <f t="shared" si="2"/>
        <v>0</v>
      </c>
      <c r="H17" s="283">
        <f t="shared" si="2"/>
        <v>0</v>
      </c>
      <c r="I17" s="283">
        <f t="shared" si="2"/>
        <v>0</v>
      </c>
      <c r="J17" s="283">
        <f t="shared" si="2"/>
        <v>0</v>
      </c>
      <c r="K17" s="283">
        <f t="shared" si="2"/>
        <v>0</v>
      </c>
      <c r="L17" s="283">
        <f t="shared" si="2"/>
        <v>0</v>
      </c>
      <c r="M17" s="283">
        <f t="shared" si="2"/>
        <v>0</v>
      </c>
      <c r="N17" s="283">
        <f t="shared" si="2"/>
        <v>0</v>
      </c>
      <c r="O17" s="283">
        <f t="shared" si="2"/>
        <v>0</v>
      </c>
      <c r="P17" s="283">
        <f t="shared" si="2"/>
        <v>0</v>
      </c>
      <c r="Q17" s="283">
        <f t="shared" si="2"/>
        <v>0</v>
      </c>
      <c r="R17" s="282" t="str">
        <f>IF(AND(C17&lt;&gt;0,A17="F. Other Income:"),"Describe Other Source of Income","")</f>
        <v/>
      </c>
    </row>
    <row r="18" spans="1:18" ht="12.75" customHeight="1" x14ac:dyDescent="0.2">
      <c r="A18" s="1082" t="s">
        <v>620</v>
      </c>
      <c r="B18" s="1083"/>
      <c r="C18" s="281">
        <f>SUM(C15:C17)</f>
        <v>0</v>
      </c>
      <c r="D18" s="281">
        <f t="shared" ref="D18:Q18" si="3">SUM(D15:D17)</f>
        <v>0</v>
      </c>
      <c r="E18" s="281">
        <f t="shared" si="3"/>
        <v>0</v>
      </c>
      <c r="F18" s="281">
        <f t="shared" si="3"/>
        <v>0</v>
      </c>
      <c r="G18" s="281">
        <f t="shared" si="3"/>
        <v>0</v>
      </c>
      <c r="H18" s="281">
        <f t="shared" si="3"/>
        <v>0</v>
      </c>
      <c r="I18" s="281">
        <f t="shared" si="3"/>
        <v>0</v>
      </c>
      <c r="J18" s="281">
        <f t="shared" si="3"/>
        <v>0</v>
      </c>
      <c r="K18" s="281">
        <f t="shared" si="3"/>
        <v>0</v>
      </c>
      <c r="L18" s="281">
        <f t="shared" si="3"/>
        <v>0</v>
      </c>
      <c r="M18" s="281">
        <f t="shared" si="3"/>
        <v>0</v>
      </c>
      <c r="N18" s="281">
        <f t="shared" si="3"/>
        <v>0</v>
      </c>
      <c r="O18" s="281">
        <f t="shared" si="3"/>
        <v>0</v>
      </c>
      <c r="P18" s="281">
        <f t="shared" si="3"/>
        <v>0</v>
      </c>
      <c r="Q18" s="281">
        <f t="shared" si="3"/>
        <v>0</v>
      </c>
    </row>
    <row r="19" spans="1:18" ht="12.75" customHeight="1" x14ac:dyDescent="0.2">
      <c r="A19" s="1084" t="s">
        <v>617</v>
      </c>
      <c r="B19" s="1085"/>
      <c r="D19" s="284"/>
      <c r="E19" s="284"/>
      <c r="F19" s="284"/>
      <c r="G19" s="284"/>
      <c r="H19" s="284"/>
      <c r="I19" s="284"/>
      <c r="J19" s="284"/>
      <c r="K19" s="284"/>
      <c r="L19" s="284"/>
      <c r="M19" s="284"/>
      <c r="N19" s="284"/>
      <c r="O19" s="284"/>
      <c r="P19" s="284"/>
      <c r="Q19" s="284"/>
    </row>
    <row r="20" spans="1:18" ht="12.75" customHeight="1" x14ac:dyDescent="0.2">
      <c r="A20" s="278" t="s">
        <v>609</v>
      </c>
      <c r="B20" s="279" t="s">
        <v>597</v>
      </c>
      <c r="C20" s="280"/>
      <c r="D20" s="281">
        <f t="shared" ref="D20:Q20" si="4">C20*(1+$N$10)</f>
        <v>0</v>
      </c>
      <c r="E20" s="281">
        <f t="shared" si="4"/>
        <v>0</v>
      </c>
      <c r="F20" s="281">
        <f t="shared" si="4"/>
        <v>0</v>
      </c>
      <c r="G20" s="281">
        <f t="shared" si="4"/>
        <v>0</v>
      </c>
      <c r="H20" s="281">
        <f t="shared" si="4"/>
        <v>0</v>
      </c>
      <c r="I20" s="281">
        <f t="shared" si="4"/>
        <v>0</v>
      </c>
      <c r="J20" s="281">
        <f t="shared" si="4"/>
        <v>0</v>
      </c>
      <c r="K20" s="281">
        <f t="shared" si="4"/>
        <v>0</v>
      </c>
      <c r="L20" s="281">
        <f t="shared" si="4"/>
        <v>0</v>
      </c>
      <c r="M20" s="281">
        <f t="shared" si="4"/>
        <v>0</v>
      </c>
      <c r="N20" s="281">
        <f t="shared" si="4"/>
        <v>0</v>
      </c>
      <c r="O20" s="281">
        <f t="shared" si="4"/>
        <v>0</v>
      </c>
      <c r="P20" s="281">
        <f t="shared" si="4"/>
        <v>0</v>
      </c>
      <c r="Q20" s="281">
        <f t="shared" si="4"/>
        <v>0</v>
      </c>
    </row>
    <row r="21" spans="1:18" ht="12.75" customHeight="1" x14ac:dyDescent="0.2">
      <c r="A21" s="278" t="s">
        <v>609</v>
      </c>
      <c r="B21" s="279" t="s">
        <v>597</v>
      </c>
      <c r="C21" s="280"/>
      <c r="D21" s="281">
        <f t="shared" ref="D21:Q21" si="5">C21*(1+$N$10)</f>
        <v>0</v>
      </c>
      <c r="E21" s="281">
        <f t="shared" si="5"/>
        <v>0</v>
      </c>
      <c r="F21" s="281">
        <f t="shared" si="5"/>
        <v>0</v>
      </c>
      <c r="G21" s="281">
        <f t="shared" si="5"/>
        <v>0</v>
      </c>
      <c r="H21" s="281">
        <f t="shared" si="5"/>
        <v>0</v>
      </c>
      <c r="I21" s="281">
        <f t="shared" si="5"/>
        <v>0</v>
      </c>
      <c r="J21" s="281">
        <f t="shared" si="5"/>
        <v>0</v>
      </c>
      <c r="K21" s="281">
        <f t="shared" si="5"/>
        <v>0</v>
      </c>
      <c r="L21" s="281">
        <f t="shared" si="5"/>
        <v>0</v>
      </c>
      <c r="M21" s="281">
        <f t="shared" si="5"/>
        <v>0</v>
      </c>
      <c r="N21" s="281">
        <f t="shared" si="5"/>
        <v>0</v>
      </c>
      <c r="O21" s="281">
        <f t="shared" si="5"/>
        <v>0</v>
      </c>
      <c r="P21" s="281">
        <f t="shared" si="5"/>
        <v>0</v>
      </c>
      <c r="Q21" s="281">
        <f t="shared" si="5"/>
        <v>0</v>
      </c>
    </row>
    <row r="22" spans="1:18" ht="12.75" customHeight="1" x14ac:dyDescent="0.2">
      <c r="A22" s="278" t="s">
        <v>609</v>
      </c>
      <c r="B22" s="279" t="s">
        <v>597</v>
      </c>
      <c r="C22" s="280"/>
      <c r="D22" s="281">
        <f t="shared" ref="D22:Q22" si="6">C22*(1+$N$10)</f>
        <v>0</v>
      </c>
      <c r="E22" s="281">
        <f t="shared" si="6"/>
        <v>0</v>
      </c>
      <c r="F22" s="281">
        <f t="shared" si="6"/>
        <v>0</v>
      </c>
      <c r="G22" s="281">
        <f t="shared" si="6"/>
        <v>0</v>
      </c>
      <c r="H22" s="281">
        <f t="shared" si="6"/>
        <v>0</v>
      </c>
      <c r="I22" s="281">
        <f t="shared" si="6"/>
        <v>0</v>
      </c>
      <c r="J22" s="281">
        <f t="shared" si="6"/>
        <v>0</v>
      </c>
      <c r="K22" s="281">
        <f t="shared" si="6"/>
        <v>0</v>
      </c>
      <c r="L22" s="281">
        <f t="shared" si="6"/>
        <v>0</v>
      </c>
      <c r="M22" s="281">
        <f t="shared" si="6"/>
        <v>0</v>
      </c>
      <c r="N22" s="281">
        <f t="shared" si="6"/>
        <v>0</v>
      </c>
      <c r="O22" s="281">
        <f t="shared" si="6"/>
        <v>0</v>
      </c>
      <c r="P22" s="281">
        <f t="shared" si="6"/>
        <v>0</v>
      </c>
      <c r="Q22" s="281">
        <f t="shared" si="6"/>
        <v>0</v>
      </c>
    </row>
    <row r="23" spans="1:18" ht="12.75" customHeight="1" x14ac:dyDescent="0.2">
      <c r="A23" s="278" t="s">
        <v>609</v>
      </c>
      <c r="B23" s="279" t="s">
        <v>597</v>
      </c>
      <c r="C23" s="280"/>
      <c r="D23" s="281">
        <f t="shared" ref="D23:Q23" si="7">C23*(1+$N$10)</f>
        <v>0</v>
      </c>
      <c r="E23" s="281">
        <f t="shared" si="7"/>
        <v>0</v>
      </c>
      <c r="F23" s="281">
        <f t="shared" si="7"/>
        <v>0</v>
      </c>
      <c r="G23" s="281">
        <f t="shared" si="7"/>
        <v>0</v>
      </c>
      <c r="H23" s="281">
        <f t="shared" si="7"/>
        <v>0</v>
      </c>
      <c r="I23" s="281">
        <f t="shared" si="7"/>
        <v>0</v>
      </c>
      <c r="J23" s="281">
        <f t="shared" si="7"/>
        <v>0</v>
      </c>
      <c r="K23" s="281">
        <f t="shared" si="7"/>
        <v>0</v>
      </c>
      <c r="L23" s="281">
        <f t="shared" si="7"/>
        <v>0</v>
      </c>
      <c r="M23" s="281">
        <f t="shared" si="7"/>
        <v>0</v>
      </c>
      <c r="N23" s="281">
        <f t="shared" si="7"/>
        <v>0</v>
      </c>
      <c r="O23" s="281">
        <f t="shared" si="7"/>
        <v>0</v>
      </c>
      <c r="P23" s="281">
        <f t="shared" si="7"/>
        <v>0</v>
      </c>
      <c r="Q23" s="281">
        <f t="shared" si="7"/>
        <v>0</v>
      </c>
    </row>
    <row r="24" spans="1:18" ht="12.75" customHeight="1" x14ac:dyDescent="0.2">
      <c r="A24" s="278" t="s">
        <v>609</v>
      </c>
      <c r="B24" s="279" t="s">
        <v>597</v>
      </c>
      <c r="C24" s="280"/>
      <c r="D24" s="281">
        <f t="shared" ref="D24:Q24" si="8">C24*(1+$N$10)</f>
        <v>0</v>
      </c>
      <c r="E24" s="281">
        <f t="shared" si="8"/>
        <v>0</v>
      </c>
      <c r="F24" s="281">
        <f t="shared" si="8"/>
        <v>0</v>
      </c>
      <c r="G24" s="281">
        <f t="shared" si="8"/>
        <v>0</v>
      </c>
      <c r="H24" s="281">
        <f t="shared" si="8"/>
        <v>0</v>
      </c>
      <c r="I24" s="281">
        <f t="shared" si="8"/>
        <v>0</v>
      </c>
      <c r="J24" s="281">
        <f t="shared" si="8"/>
        <v>0</v>
      </c>
      <c r="K24" s="281">
        <f t="shared" si="8"/>
        <v>0</v>
      </c>
      <c r="L24" s="281">
        <f t="shared" si="8"/>
        <v>0</v>
      </c>
      <c r="M24" s="281">
        <f t="shared" si="8"/>
        <v>0</v>
      </c>
      <c r="N24" s="281">
        <f t="shared" si="8"/>
        <v>0</v>
      </c>
      <c r="O24" s="281">
        <f t="shared" si="8"/>
        <v>0</v>
      </c>
      <c r="P24" s="281">
        <f t="shared" si="8"/>
        <v>0</v>
      </c>
      <c r="Q24" s="281">
        <f t="shared" si="8"/>
        <v>0</v>
      </c>
    </row>
    <row r="25" spans="1:18" ht="12.75" customHeight="1" x14ac:dyDescent="0.2">
      <c r="A25" s="278" t="s">
        <v>609</v>
      </c>
      <c r="B25" s="279" t="s">
        <v>597</v>
      </c>
      <c r="C25" s="285"/>
      <c r="D25" s="281">
        <f t="shared" ref="D25:Q25" si="9">C25*(1+$N$10)</f>
        <v>0</v>
      </c>
      <c r="E25" s="281">
        <f t="shared" si="9"/>
        <v>0</v>
      </c>
      <c r="F25" s="281">
        <f t="shared" si="9"/>
        <v>0</v>
      </c>
      <c r="G25" s="281">
        <f t="shared" si="9"/>
        <v>0</v>
      </c>
      <c r="H25" s="281">
        <f t="shared" si="9"/>
        <v>0</v>
      </c>
      <c r="I25" s="281">
        <f t="shared" si="9"/>
        <v>0</v>
      </c>
      <c r="J25" s="281">
        <f t="shared" si="9"/>
        <v>0</v>
      </c>
      <c r="K25" s="281">
        <f t="shared" si="9"/>
        <v>0</v>
      </c>
      <c r="L25" s="281">
        <f t="shared" si="9"/>
        <v>0</v>
      </c>
      <c r="M25" s="281">
        <f t="shared" si="9"/>
        <v>0</v>
      </c>
      <c r="N25" s="281">
        <f t="shared" si="9"/>
        <v>0</v>
      </c>
      <c r="O25" s="281">
        <f t="shared" si="9"/>
        <v>0</v>
      </c>
      <c r="P25" s="281">
        <f t="shared" si="9"/>
        <v>0</v>
      </c>
      <c r="Q25" s="281">
        <f t="shared" si="9"/>
        <v>0</v>
      </c>
    </row>
    <row r="26" spans="1:18" ht="12.75" customHeight="1" x14ac:dyDescent="0.2">
      <c r="A26" s="278" t="s">
        <v>609</v>
      </c>
      <c r="B26" s="279" t="s">
        <v>597</v>
      </c>
      <c r="C26" s="285"/>
      <c r="D26" s="281">
        <f t="shared" ref="D26" si="10">C26*(1+$N$10)</f>
        <v>0</v>
      </c>
      <c r="E26" s="281">
        <f t="shared" ref="E26" si="11">D26*(1+$N$10)</f>
        <v>0</v>
      </c>
      <c r="F26" s="281">
        <f t="shared" ref="F26" si="12">E26*(1+$N$10)</f>
        <v>0</v>
      </c>
      <c r="G26" s="281">
        <f t="shared" ref="G26" si="13">F26*(1+$N$10)</f>
        <v>0</v>
      </c>
      <c r="H26" s="281">
        <f t="shared" ref="H26" si="14">G26*(1+$N$10)</f>
        <v>0</v>
      </c>
      <c r="I26" s="281">
        <f t="shared" ref="I26" si="15">H26*(1+$N$10)</f>
        <v>0</v>
      </c>
      <c r="J26" s="281">
        <f t="shared" ref="J26" si="16">I26*(1+$N$10)</f>
        <v>0</v>
      </c>
      <c r="K26" s="281">
        <f t="shared" ref="K26" si="17">J26*(1+$N$10)</f>
        <v>0</v>
      </c>
      <c r="L26" s="281">
        <f t="shared" ref="L26" si="18">K26*(1+$N$10)</f>
        <v>0</v>
      </c>
      <c r="M26" s="281">
        <f t="shared" ref="M26" si="19">L26*(1+$N$10)</f>
        <v>0</v>
      </c>
      <c r="N26" s="281">
        <f t="shared" ref="N26" si="20">M26*(1+$N$10)</f>
        <v>0</v>
      </c>
      <c r="O26" s="281">
        <f t="shared" ref="O26" si="21">N26*(1+$N$10)</f>
        <v>0</v>
      </c>
      <c r="P26" s="281">
        <f t="shared" ref="P26" si="22">O26*(1+$N$10)</f>
        <v>0</v>
      </c>
      <c r="Q26" s="281">
        <f t="shared" ref="Q26" si="23">P26*(1+$N$10)</f>
        <v>0</v>
      </c>
    </row>
    <row r="27" spans="1:18" ht="12.75" customHeight="1" x14ac:dyDescent="0.2">
      <c r="A27" s="278" t="s">
        <v>609</v>
      </c>
      <c r="B27" s="279" t="s">
        <v>597</v>
      </c>
      <c r="C27" s="285"/>
      <c r="D27" s="281">
        <f t="shared" ref="D27:Q27" si="24">C27*(1+$N$10)</f>
        <v>0</v>
      </c>
      <c r="E27" s="281">
        <f t="shared" si="24"/>
        <v>0</v>
      </c>
      <c r="F27" s="281">
        <f t="shared" si="24"/>
        <v>0</v>
      </c>
      <c r="G27" s="281">
        <f t="shared" si="24"/>
        <v>0</v>
      </c>
      <c r="H27" s="281">
        <f t="shared" si="24"/>
        <v>0</v>
      </c>
      <c r="I27" s="281">
        <f t="shared" si="24"/>
        <v>0</v>
      </c>
      <c r="J27" s="281">
        <f t="shared" si="24"/>
        <v>0</v>
      </c>
      <c r="K27" s="281">
        <f t="shared" si="24"/>
        <v>0</v>
      </c>
      <c r="L27" s="281">
        <f t="shared" si="24"/>
        <v>0</v>
      </c>
      <c r="M27" s="281">
        <f t="shared" si="24"/>
        <v>0</v>
      </c>
      <c r="N27" s="281">
        <f t="shared" si="24"/>
        <v>0</v>
      </c>
      <c r="O27" s="281">
        <f t="shared" si="24"/>
        <v>0</v>
      </c>
      <c r="P27" s="281">
        <f t="shared" si="24"/>
        <v>0</v>
      </c>
      <c r="Q27" s="281">
        <f t="shared" si="24"/>
        <v>0</v>
      </c>
    </row>
    <row r="28" spans="1:18" ht="12.75" customHeight="1" x14ac:dyDescent="0.2">
      <c r="A28" s="278" t="s">
        <v>609</v>
      </c>
      <c r="B28" s="279" t="s">
        <v>597</v>
      </c>
      <c r="C28" s="285"/>
      <c r="D28" s="281">
        <f t="shared" ref="D28:D33" si="25">C28*(1+$N$10)</f>
        <v>0</v>
      </c>
      <c r="E28" s="281">
        <f t="shared" ref="E28:E33" si="26">D28*(1+$N$10)</f>
        <v>0</v>
      </c>
      <c r="F28" s="281">
        <f t="shared" ref="F28:F33" si="27">E28*(1+$N$10)</f>
        <v>0</v>
      </c>
      <c r="G28" s="281">
        <f t="shared" ref="G28:G33" si="28">F28*(1+$N$10)</f>
        <v>0</v>
      </c>
      <c r="H28" s="281">
        <f t="shared" ref="H28:H33" si="29">G28*(1+$N$10)</f>
        <v>0</v>
      </c>
      <c r="I28" s="281">
        <f t="shared" ref="I28:I33" si="30">H28*(1+$N$10)</f>
        <v>0</v>
      </c>
      <c r="J28" s="281">
        <f t="shared" ref="J28:J33" si="31">I28*(1+$N$10)</f>
        <v>0</v>
      </c>
      <c r="K28" s="281">
        <f t="shared" ref="K28:K33" si="32">J28*(1+$N$10)</f>
        <v>0</v>
      </c>
      <c r="L28" s="281">
        <f t="shared" ref="L28:L33" si="33">K28*(1+$N$10)</f>
        <v>0</v>
      </c>
      <c r="M28" s="281">
        <f t="shared" ref="M28:M33" si="34">L28*(1+$N$10)</f>
        <v>0</v>
      </c>
      <c r="N28" s="281">
        <f t="shared" ref="N28:N33" si="35">M28*(1+$N$10)</f>
        <v>0</v>
      </c>
      <c r="O28" s="281">
        <f t="shared" ref="O28:O33" si="36">N28*(1+$N$10)</f>
        <v>0</v>
      </c>
      <c r="P28" s="281">
        <f t="shared" ref="P28:P33" si="37">O28*(1+$N$10)</f>
        <v>0</v>
      </c>
      <c r="Q28" s="281">
        <f t="shared" ref="Q28:Q33" si="38">P28*(1+$N$10)</f>
        <v>0</v>
      </c>
    </row>
    <row r="29" spans="1:18" ht="12.75" customHeight="1" x14ac:dyDescent="0.2">
      <c r="A29" s="278" t="s">
        <v>609</v>
      </c>
      <c r="B29" s="279" t="s">
        <v>597</v>
      </c>
      <c r="C29" s="285"/>
      <c r="D29" s="281">
        <f t="shared" si="25"/>
        <v>0</v>
      </c>
      <c r="E29" s="281">
        <f t="shared" si="26"/>
        <v>0</v>
      </c>
      <c r="F29" s="281">
        <f t="shared" si="27"/>
        <v>0</v>
      </c>
      <c r="G29" s="281">
        <f t="shared" si="28"/>
        <v>0</v>
      </c>
      <c r="H29" s="281">
        <f t="shared" si="29"/>
        <v>0</v>
      </c>
      <c r="I29" s="281">
        <f t="shared" si="30"/>
        <v>0</v>
      </c>
      <c r="J29" s="281">
        <f t="shared" si="31"/>
        <v>0</v>
      </c>
      <c r="K29" s="281">
        <f t="shared" si="32"/>
        <v>0</v>
      </c>
      <c r="L29" s="281">
        <f t="shared" si="33"/>
        <v>0</v>
      </c>
      <c r="M29" s="281">
        <f t="shared" si="34"/>
        <v>0</v>
      </c>
      <c r="N29" s="281">
        <f t="shared" si="35"/>
        <v>0</v>
      </c>
      <c r="O29" s="281">
        <f t="shared" si="36"/>
        <v>0</v>
      </c>
      <c r="P29" s="281">
        <f t="shared" si="37"/>
        <v>0</v>
      </c>
      <c r="Q29" s="281">
        <f t="shared" si="38"/>
        <v>0</v>
      </c>
    </row>
    <row r="30" spans="1:18" ht="12.75" customHeight="1" x14ac:dyDescent="0.2">
      <c r="A30" s="278" t="s">
        <v>609</v>
      </c>
      <c r="B30" s="279" t="s">
        <v>597</v>
      </c>
      <c r="C30" s="285"/>
      <c r="D30" s="281">
        <f t="shared" si="25"/>
        <v>0</v>
      </c>
      <c r="E30" s="281">
        <f t="shared" si="26"/>
        <v>0</v>
      </c>
      <c r="F30" s="281">
        <f t="shared" si="27"/>
        <v>0</v>
      </c>
      <c r="G30" s="281">
        <f t="shared" si="28"/>
        <v>0</v>
      </c>
      <c r="H30" s="281">
        <f t="shared" si="29"/>
        <v>0</v>
      </c>
      <c r="I30" s="281">
        <f t="shared" si="30"/>
        <v>0</v>
      </c>
      <c r="J30" s="281">
        <f t="shared" si="31"/>
        <v>0</v>
      </c>
      <c r="K30" s="281">
        <f t="shared" si="32"/>
        <v>0</v>
      </c>
      <c r="L30" s="281">
        <f t="shared" si="33"/>
        <v>0</v>
      </c>
      <c r="M30" s="281">
        <f t="shared" si="34"/>
        <v>0</v>
      </c>
      <c r="N30" s="281">
        <f t="shared" si="35"/>
        <v>0</v>
      </c>
      <c r="O30" s="281">
        <f t="shared" si="36"/>
        <v>0</v>
      </c>
      <c r="P30" s="281">
        <f t="shared" si="37"/>
        <v>0</v>
      </c>
      <c r="Q30" s="281">
        <f t="shared" si="38"/>
        <v>0</v>
      </c>
    </row>
    <row r="31" spans="1:18" ht="12.75" customHeight="1" x14ac:dyDescent="0.2">
      <c r="A31" s="278" t="s">
        <v>609</v>
      </c>
      <c r="B31" s="279" t="s">
        <v>597</v>
      </c>
      <c r="C31" s="285"/>
      <c r="D31" s="281">
        <f t="shared" si="25"/>
        <v>0</v>
      </c>
      <c r="E31" s="281">
        <f t="shared" si="26"/>
        <v>0</v>
      </c>
      <c r="F31" s="281">
        <f t="shared" si="27"/>
        <v>0</v>
      </c>
      <c r="G31" s="281">
        <f t="shared" si="28"/>
        <v>0</v>
      </c>
      <c r="H31" s="281">
        <f t="shared" si="29"/>
        <v>0</v>
      </c>
      <c r="I31" s="281">
        <f t="shared" si="30"/>
        <v>0</v>
      </c>
      <c r="J31" s="281">
        <f t="shared" si="31"/>
        <v>0</v>
      </c>
      <c r="K31" s="281">
        <f t="shared" si="32"/>
        <v>0</v>
      </c>
      <c r="L31" s="281">
        <f t="shared" si="33"/>
        <v>0</v>
      </c>
      <c r="M31" s="281">
        <f t="shared" si="34"/>
        <v>0</v>
      </c>
      <c r="N31" s="281">
        <f t="shared" si="35"/>
        <v>0</v>
      </c>
      <c r="O31" s="281">
        <f t="shared" si="36"/>
        <v>0</v>
      </c>
      <c r="P31" s="281">
        <f t="shared" si="37"/>
        <v>0</v>
      </c>
      <c r="Q31" s="281">
        <f t="shared" si="38"/>
        <v>0</v>
      </c>
    </row>
    <row r="32" spans="1:18" ht="12.75" customHeight="1" x14ac:dyDescent="0.2">
      <c r="A32" s="278" t="s">
        <v>609</v>
      </c>
      <c r="B32" s="279" t="s">
        <v>597</v>
      </c>
      <c r="C32" s="285"/>
      <c r="D32" s="281">
        <f t="shared" si="25"/>
        <v>0</v>
      </c>
      <c r="E32" s="281">
        <f t="shared" si="26"/>
        <v>0</v>
      </c>
      <c r="F32" s="281">
        <f t="shared" si="27"/>
        <v>0</v>
      </c>
      <c r="G32" s="281">
        <f t="shared" si="28"/>
        <v>0</v>
      </c>
      <c r="H32" s="281">
        <f t="shared" si="29"/>
        <v>0</v>
      </c>
      <c r="I32" s="281">
        <f t="shared" si="30"/>
        <v>0</v>
      </c>
      <c r="J32" s="281">
        <f t="shared" si="31"/>
        <v>0</v>
      </c>
      <c r="K32" s="281">
        <f t="shared" si="32"/>
        <v>0</v>
      </c>
      <c r="L32" s="281">
        <f t="shared" si="33"/>
        <v>0</v>
      </c>
      <c r="M32" s="281">
        <f t="shared" si="34"/>
        <v>0</v>
      </c>
      <c r="N32" s="281">
        <f t="shared" si="35"/>
        <v>0</v>
      </c>
      <c r="O32" s="281">
        <f t="shared" si="36"/>
        <v>0</v>
      </c>
      <c r="P32" s="281">
        <f t="shared" si="37"/>
        <v>0</v>
      </c>
      <c r="Q32" s="281">
        <f t="shared" si="38"/>
        <v>0</v>
      </c>
    </row>
    <row r="33" spans="1:19" ht="12.75" customHeight="1" x14ac:dyDescent="0.2">
      <c r="A33" s="278" t="s">
        <v>609</v>
      </c>
      <c r="B33" s="279" t="s">
        <v>597</v>
      </c>
      <c r="C33" s="285"/>
      <c r="D33" s="281">
        <f t="shared" si="25"/>
        <v>0</v>
      </c>
      <c r="E33" s="281">
        <f t="shared" si="26"/>
        <v>0</v>
      </c>
      <c r="F33" s="281">
        <f t="shared" si="27"/>
        <v>0</v>
      </c>
      <c r="G33" s="281">
        <f t="shared" si="28"/>
        <v>0</v>
      </c>
      <c r="H33" s="281">
        <f t="shared" si="29"/>
        <v>0</v>
      </c>
      <c r="I33" s="281">
        <f t="shared" si="30"/>
        <v>0</v>
      </c>
      <c r="J33" s="281">
        <f t="shared" si="31"/>
        <v>0</v>
      </c>
      <c r="K33" s="281">
        <f t="shared" si="32"/>
        <v>0</v>
      </c>
      <c r="L33" s="281">
        <f t="shared" si="33"/>
        <v>0</v>
      </c>
      <c r="M33" s="281">
        <f t="shared" si="34"/>
        <v>0</v>
      </c>
      <c r="N33" s="281">
        <f t="shared" si="35"/>
        <v>0</v>
      </c>
      <c r="O33" s="281">
        <f t="shared" si="36"/>
        <v>0</v>
      </c>
      <c r="P33" s="281">
        <f t="shared" si="37"/>
        <v>0</v>
      </c>
      <c r="Q33" s="281">
        <f t="shared" si="38"/>
        <v>0</v>
      </c>
    </row>
    <row r="34" spans="1:19" ht="12.75" customHeight="1" x14ac:dyDescent="0.2">
      <c r="A34" s="278" t="s">
        <v>609</v>
      </c>
      <c r="B34" s="279" t="s">
        <v>597</v>
      </c>
      <c r="C34" s="285"/>
      <c r="D34" s="281">
        <f t="shared" ref="D34:Q34" si="39">C34*(1+$N$10)</f>
        <v>0</v>
      </c>
      <c r="E34" s="281">
        <f t="shared" si="39"/>
        <v>0</v>
      </c>
      <c r="F34" s="281">
        <f t="shared" si="39"/>
        <v>0</v>
      </c>
      <c r="G34" s="281">
        <f t="shared" si="39"/>
        <v>0</v>
      </c>
      <c r="H34" s="281">
        <f t="shared" si="39"/>
        <v>0</v>
      </c>
      <c r="I34" s="281">
        <f t="shared" si="39"/>
        <v>0</v>
      </c>
      <c r="J34" s="281">
        <f t="shared" si="39"/>
        <v>0</v>
      </c>
      <c r="K34" s="281">
        <f t="shared" si="39"/>
        <v>0</v>
      </c>
      <c r="L34" s="281">
        <f t="shared" si="39"/>
        <v>0</v>
      </c>
      <c r="M34" s="281">
        <f t="shared" si="39"/>
        <v>0</v>
      </c>
      <c r="N34" s="281">
        <f t="shared" si="39"/>
        <v>0</v>
      </c>
      <c r="O34" s="281">
        <f t="shared" si="39"/>
        <v>0</v>
      </c>
      <c r="P34" s="281">
        <f t="shared" si="39"/>
        <v>0</v>
      </c>
      <c r="Q34" s="281">
        <f t="shared" si="39"/>
        <v>0</v>
      </c>
    </row>
    <row r="35" spans="1:19" ht="12.75" customHeight="1" x14ac:dyDescent="0.2">
      <c r="A35" s="278" t="s">
        <v>609</v>
      </c>
      <c r="B35" s="279" t="s">
        <v>597</v>
      </c>
      <c r="C35" s="285"/>
      <c r="D35" s="281">
        <f t="shared" ref="D35:Q35" si="40">C35*(1+$N$10)</f>
        <v>0</v>
      </c>
      <c r="E35" s="281">
        <f t="shared" si="40"/>
        <v>0</v>
      </c>
      <c r="F35" s="281">
        <f t="shared" si="40"/>
        <v>0</v>
      </c>
      <c r="G35" s="281">
        <f t="shared" si="40"/>
        <v>0</v>
      </c>
      <c r="H35" s="281">
        <f t="shared" si="40"/>
        <v>0</v>
      </c>
      <c r="I35" s="281">
        <f t="shared" si="40"/>
        <v>0</v>
      </c>
      <c r="J35" s="281">
        <f t="shared" si="40"/>
        <v>0</v>
      </c>
      <c r="K35" s="281">
        <f t="shared" si="40"/>
        <v>0</v>
      </c>
      <c r="L35" s="281">
        <f t="shared" si="40"/>
        <v>0</v>
      </c>
      <c r="M35" s="281">
        <f t="shared" si="40"/>
        <v>0</v>
      </c>
      <c r="N35" s="281">
        <f t="shared" si="40"/>
        <v>0</v>
      </c>
      <c r="O35" s="281">
        <f t="shared" si="40"/>
        <v>0</v>
      </c>
      <c r="P35" s="281">
        <f t="shared" si="40"/>
        <v>0</v>
      </c>
      <c r="Q35" s="281">
        <f t="shared" si="40"/>
        <v>0</v>
      </c>
    </row>
    <row r="36" spans="1:19" ht="12.75" customHeight="1" x14ac:dyDescent="0.2">
      <c r="A36" s="278" t="s">
        <v>609</v>
      </c>
      <c r="B36" s="279" t="s">
        <v>597</v>
      </c>
      <c r="C36" s="285"/>
      <c r="D36" s="281">
        <f t="shared" ref="D36:Q36" si="41">C36*(1+$N$10)</f>
        <v>0</v>
      </c>
      <c r="E36" s="281">
        <f t="shared" si="41"/>
        <v>0</v>
      </c>
      <c r="F36" s="281">
        <f t="shared" si="41"/>
        <v>0</v>
      </c>
      <c r="G36" s="281">
        <f t="shared" si="41"/>
        <v>0</v>
      </c>
      <c r="H36" s="281">
        <f t="shared" si="41"/>
        <v>0</v>
      </c>
      <c r="I36" s="281">
        <f t="shared" si="41"/>
        <v>0</v>
      </c>
      <c r="J36" s="281">
        <f t="shared" si="41"/>
        <v>0</v>
      </c>
      <c r="K36" s="281">
        <f t="shared" si="41"/>
        <v>0</v>
      </c>
      <c r="L36" s="281">
        <f t="shared" si="41"/>
        <v>0</v>
      </c>
      <c r="M36" s="281">
        <f t="shared" si="41"/>
        <v>0</v>
      </c>
      <c r="N36" s="281">
        <f t="shared" si="41"/>
        <v>0</v>
      </c>
      <c r="O36" s="281">
        <f t="shared" si="41"/>
        <v>0</v>
      </c>
      <c r="P36" s="281">
        <f t="shared" si="41"/>
        <v>0</v>
      </c>
      <c r="Q36" s="281">
        <f t="shared" si="41"/>
        <v>0</v>
      </c>
    </row>
    <row r="37" spans="1:19" ht="12.75" customHeight="1" x14ac:dyDescent="0.2">
      <c r="A37" s="278" t="s">
        <v>609</v>
      </c>
      <c r="B37" s="279" t="s">
        <v>597</v>
      </c>
      <c r="C37" s="285"/>
      <c r="D37" s="281">
        <f t="shared" ref="D37:Q37" si="42">C37*(1+$N$10)</f>
        <v>0</v>
      </c>
      <c r="E37" s="281">
        <f t="shared" si="42"/>
        <v>0</v>
      </c>
      <c r="F37" s="281">
        <f t="shared" si="42"/>
        <v>0</v>
      </c>
      <c r="G37" s="281">
        <f t="shared" si="42"/>
        <v>0</v>
      </c>
      <c r="H37" s="281">
        <f t="shared" si="42"/>
        <v>0</v>
      </c>
      <c r="I37" s="281">
        <f t="shared" si="42"/>
        <v>0</v>
      </c>
      <c r="J37" s="281">
        <f t="shared" si="42"/>
        <v>0</v>
      </c>
      <c r="K37" s="281">
        <f t="shared" si="42"/>
        <v>0</v>
      </c>
      <c r="L37" s="281">
        <f t="shared" si="42"/>
        <v>0</v>
      </c>
      <c r="M37" s="281">
        <f t="shared" si="42"/>
        <v>0</v>
      </c>
      <c r="N37" s="281">
        <f t="shared" si="42"/>
        <v>0</v>
      </c>
      <c r="O37" s="281">
        <f t="shared" si="42"/>
        <v>0</v>
      </c>
      <c r="P37" s="281">
        <f t="shared" si="42"/>
        <v>0</v>
      </c>
      <c r="Q37" s="281">
        <f t="shared" si="42"/>
        <v>0</v>
      </c>
    </row>
    <row r="38" spans="1:19" ht="12.75" customHeight="1" x14ac:dyDescent="0.2">
      <c r="A38" s="278" t="s">
        <v>609</v>
      </c>
      <c r="B38" s="279" t="s">
        <v>597</v>
      </c>
      <c r="C38" s="285"/>
      <c r="D38" s="281">
        <f t="shared" ref="D38:Q38" si="43">C38*(1+$N$10)</f>
        <v>0</v>
      </c>
      <c r="E38" s="281">
        <f t="shared" si="43"/>
        <v>0</v>
      </c>
      <c r="F38" s="281">
        <f t="shared" si="43"/>
        <v>0</v>
      </c>
      <c r="G38" s="281">
        <f t="shared" si="43"/>
        <v>0</v>
      </c>
      <c r="H38" s="281">
        <f t="shared" si="43"/>
        <v>0</v>
      </c>
      <c r="I38" s="281">
        <f t="shared" si="43"/>
        <v>0</v>
      </c>
      <c r="J38" s="281">
        <f t="shared" si="43"/>
        <v>0</v>
      </c>
      <c r="K38" s="281">
        <f t="shared" si="43"/>
        <v>0</v>
      </c>
      <c r="L38" s="281">
        <f t="shared" si="43"/>
        <v>0</v>
      </c>
      <c r="M38" s="281">
        <f t="shared" si="43"/>
        <v>0</v>
      </c>
      <c r="N38" s="281">
        <f t="shared" si="43"/>
        <v>0</v>
      </c>
      <c r="O38" s="281">
        <f t="shared" si="43"/>
        <v>0</v>
      </c>
      <c r="P38" s="281">
        <f t="shared" si="43"/>
        <v>0</v>
      </c>
      <c r="Q38" s="281">
        <f t="shared" si="43"/>
        <v>0</v>
      </c>
    </row>
    <row r="39" spans="1:19" ht="12.75" customHeight="1" x14ac:dyDescent="0.2">
      <c r="A39" s="278" t="s">
        <v>609</v>
      </c>
      <c r="B39" s="279" t="s">
        <v>597</v>
      </c>
      <c r="C39" s="285"/>
      <c r="D39" s="281">
        <f t="shared" ref="D39:Q39" si="44">C39*(1+$N$10)</f>
        <v>0</v>
      </c>
      <c r="E39" s="281">
        <f t="shared" si="44"/>
        <v>0</v>
      </c>
      <c r="F39" s="281">
        <f t="shared" si="44"/>
        <v>0</v>
      </c>
      <c r="G39" s="281">
        <f t="shared" si="44"/>
        <v>0</v>
      </c>
      <c r="H39" s="281">
        <f t="shared" si="44"/>
        <v>0</v>
      </c>
      <c r="I39" s="281">
        <f t="shared" si="44"/>
        <v>0</v>
      </c>
      <c r="J39" s="281">
        <f t="shared" si="44"/>
        <v>0</v>
      </c>
      <c r="K39" s="281">
        <f t="shared" si="44"/>
        <v>0</v>
      </c>
      <c r="L39" s="281">
        <f t="shared" si="44"/>
        <v>0</v>
      </c>
      <c r="M39" s="281">
        <f t="shared" si="44"/>
        <v>0</v>
      </c>
      <c r="N39" s="281">
        <f t="shared" si="44"/>
        <v>0</v>
      </c>
      <c r="O39" s="281">
        <f t="shared" si="44"/>
        <v>0</v>
      </c>
      <c r="P39" s="281">
        <f t="shared" si="44"/>
        <v>0</v>
      </c>
      <c r="Q39" s="281">
        <f t="shared" si="44"/>
        <v>0</v>
      </c>
    </row>
    <row r="40" spans="1:19" ht="12.75" customHeight="1" x14ac:dyDescent="0.2">
      <c r="A40" s="278" t="s">
        <v>609</v>
      </c>
      <c r="B40" s="279" t="s">
        <v>597</v>
      </c>
      <c r="C40" s="285"/>
      <c r="D40" s="281">
        <f t="shared" ref="D40:Q40" si="45">C40*(1+$N$10)</f>
        <v>0</v>
      </c>
      <c r="E40" s="281">
        <f t="shared" si="45"/>
        <v>0</v>
      </c>
      <c r="F40" s="281">
        <f t="shared" si="45"/>
        <v>0</v>
      </c>
      <c r="G40" s="281">
        <f t="shared" si="45"/>
        <v>0</v>
      </c>
      <c r="H40" s="281">
        <f t="shared" si="45"/>
        <v>0</v>
      </c>
      <c r="I40" s="281">
        <f t="shared" si="45"/>
        <v>0</v>
      </c>
      <c r="J40" s="281">
        <f t="shared" si="45"/>
        <v>0</v>
      </c>
      <c r="K40" s="281">
        <f t="shared" si="45"/>
        <v>0</v>
      </c>
      <c r="L40" s="281">
        <f t="shared" si="45"/>
        <v>0</v>
      </c>
      <c r="M40" s="281">
        <f t="shared" si="45"/>
        <v>0</v>
      </c>
      <c r="N40" s="281">
        <f t="shared" si="45"/>
        <v>0</v>
      </c>
      <c r="O40" s="281">
        <f t="shared" si="45"/>
        <v>0</v>
      </c>
      <c r="P40" s="281">
        <f t="shared" si="45"/>
        <v>0</v>
      </c>
      <c r="Q40" s="281">
        <f t="shared" si="45"/>
        <v>0</v>
      </c>
    </row>
    <row r="41" spans="1:19" ht="12.75" customHeight="1" x14ac:dyDescent="0.2">
      <c r="A41" s="278" t="s">
        <v>609</v>
      </c>
      <c r="B41" s="279" t="s">
        <v>597</v>
      </c>
      <c r="C41" s="285"/>
      <c r="D41" s="281">
        <f t="shared" ref="D41:Q41" si="46">C41*(1+$N$10)</f>
        <v>0</v>
      </c>
      <c r="E41" s="281">
        <f t="shared" si="46"/>
        <v>0</v>
      </c>
      <c r="F41" s="281">
        <f t="shared" si="46"/>
        <v>0</v>
      </c>
      <c r="G41" s="281">
        <f t="shared" si="46"/>
        <v>0</v>
      </c>
      <c r="H41" s="281">
        <f t="shared" si="46"/>
        <v>0</v>
      </c>
      <c r="I41" s="281">
        <f t="shared" si="46"/>
        <v>0</v>
      </c>
      <c r="J41" s="281">
        <f t="shared" si="46"/>
        <v>0</v>
      </c>
      <c r="K41" s="281">
        <f t="shared" si="46"/>
        <v>0</v>
      </c>
      <c r="L41" s="281">
        <f t="shared" si="46"/>
        <v>0</v>
      </c>
      <c r="M41" s="281">
        <f t="shared" si="46"/>
        <v>0</v>
      </c>
      <c r="N41" s="281">
        <f t="shared" si="46"/>
        <v>0</v>
      </c>
      <c r="O41" s="281">
        <f t="shared" si="46"/>
        <v>0</v>
      </c>
      <c r="P41" s="281">
        <f t="shared" si="46"/>
        <v>0</v>
      </c>
      <c r="Q41" s="281">
        <f t="shared" si="46"/>
        <v>0</v>
      </c>
    </row>
    <row r="42" spans="1:19" ht="12.75" customHeight="1" x14ac:dyDescent="0.2">
      <c r="A42" s="278" t="s">
        <v>609</v>
      </c>
      <c r="B42" s="279" t="s">
        <v>597</v>
      </c>
      <c r="C42" s="285"/>
      <c r="D42" s="281">
        <f t="shared" ref="D42:Q42" si="47">C42*(1+$N$10)</f>
        <v>0</v>
      </c>
      <c r="E42" s="281">
        <f t="shared" si="47"/>
        <v>0</v>
      </c>
      <c r="F42" s="281">
        <f t="shared" si="47"/>
        <v>0</v>
      </c>
      <c r="G42" s="281">
        <f t="shared" si="47"/>
        <v>0</v>
      </c>
      <c r="H42" s="281">
        <f t="shared" si="47"/>
        <v>0</v>
      </c>
      <c r="I42" s="281">
        <f t="shared" si="47"/>
        <v>0</v>
      </c>
      <c r="J42" s="281">
        <f t="shared" si="47"/>
        <v>0</v>
      </c>
      <c r="K42" s="281">
        <f t="shared" si="47"/>
        <v>0</v>
      </c>
      <c r="L42" s="281">
        <f t="shared" si="47"/>
        <v>0</v>
      </c>
      <c r="M42" s="281">
        <f t="shared" si="47"/>
        <v>0</v>
      </c>
      <c r="N42" s="281">
        <f t="shared" si="47"/>
        <v>0</v>
      </c>
      <c r="O42" s="281">
        <f t="shared" si="47"/>
        <v>0</v>
      </c>
      <c r="P42" s="281">
        <f t="shared" si="47"/>
        <v>0</v>
      </c>
      <c r="Q42" s="281">
        <f t="shared" si="47"/>
        <v>0</v>
      </c>
    </row>
    <row r="43" spans="1:19" ht="12.75" customHeight="1" x14ac:dyDescent="0.2">
      <c r="A43" s="1084" t="s">
        <v>610</v>
      </c>
      <c r="B43" s="1091"/>
      <c r="C43" s="286">
        <f t="shared" ref="C43:Q43" si="48">SUM(C20:C42)</f>
        <v>0</v>
      </c>
      <c r="D43" s="286">
        <f t="shared" si="48"/>
        <v>0</v>
      </c>
      <c r="E43" s="286">
        <f t="shared" si="48"/>
        <v>0</v>
      </c>
      <c r="F43" s="286">
        <f t="shared" si="48"/>
        <v>0</v>
      </c>
      <c r="G43" s="286">
        <f t="shared" si="48"/>
        <v>0</v>
      </c>
      <c r="H43" s="286">
        <f t="shared" si="48"/>
        <v>0</v>
      </c>
      <c r="I43" s="286">
        <f t="shared" si="48"/>
        <v>0</v>
      </c>
      <c r="J43" s="286">
        <f t="shared" si="48"/>
        <v>0</v>
      </c>
      <c r="K43" s="286">
        <f t="shared" si="48"/>
        <v>0</v>
      </c>
      <c r="L43" s="286">
        <f t="shared" si="48"/>
        <v>0</v>
      </c>
      <c r="M43" s="286">
        <f t="shared" si="48"/>
        <v>0</v>
      </c>
      <c r="N43" s="286">
        <f t="shared" si="48"/>
        <v>0</v>
      </c>
      <c r="O43" s="286">
        <f t="shared" si="48"/>
        <v>0</v>
      </c>
      <c r="P43" s="286">
        <f t="shared" si="48"/>
        <v>0</v>
      </c>
      <c r="Q43" s="286">
        <f t="shared" si="48"/>
        <v>0</v>
      </c>
      <c r="R43" s="287" t="e">
        <f>C43/D8</f>
        <v>#DIV/0!</v>
      </c>
      <c r="S43" s="288" t="s">
        <v>1389</v>
      </c>
    </row>
    <row r="44" spans="1:19" ht="12.75" customHeight="1" x14ac:dyDescent="0.2">
      <c r="A44" s="1084" t="s">
        <v>621</v>
      </c>
      <c r="B44" s="1091"/>
      <c r="C44" s="281">
        <f t="shared" ref="C44:Q44" si="49">C18-C43</f>
        <v>0</v>
      </c>
      <c r="D44" s="281">
        <f t="shared" si="49"/>
        <v>0</v>
      </c>
      <c r="E44" s="281">
        <f t="shared" si="49"/>
        <v>0</v>
      </c>
      <c r="F44" s="281">
        <f t="shared" si="49"/>
        <v>0</v>
      </c>
      <c r="G44" s="281">
        <f t="shared" si="49"/>
        <v>0</v>
      </c>
      <c r="H44" s="281">
        <f t="shared" si="49"/>
        <v>0</v>
      </c>
      <c r="I44" s="281">
        <f t="shared" si="49"/>
        <v>0</v>
      </c>
      <c r="J44" s="281">
        <f t="shared" si="49"/>
        <v>0</v>
      </c>
      <c r="K44" s="281">
        <f t="shared" si="49"/>
        <v>0</v>
      </c>
      <c r="L44" s="281">
        <f t="shared" si="49"/>
        <v>0</v>
      </c>
      <c r="M44" s="281">
        <f t="shared" si="49"/>
        <v>0</v>
      </c>
      <c r="N44" s="281">
        <f t="shared" si="49"/>
        <v>0</v>
      </c>
      <c r="O44" s="281">
        <f t="shared" si="49"/>
        <v>0</v>
      </c>
      <c r="P44" s="281">
        <f t="shared" si="49"/>
        <v>0</v>
      </c>
      <c r="Q44" s="281">
        <f t="shared" si="49"/>
        <v>0</v>
      </c>
      <c r="R44" s="298" t="e">
        <f>C44/C45</f>
        <v>#DIV/0!</v>
      </c>
      <c r="S44" s="297" t="s">
        <v>1463</v>
      </c>
    </row>
    <row r="45" spans="1:19" ht="12.75" customHeight="1" x14ac:dyDescent="0.2">
      <c r="A45" s="1084" t="s">
        <v>618</v>
      </c>
      <c r="B45" s="1091"/>
      <c r="C45" s="283">
        <f>IF('Project Information'!$C$12="Yes",'Sources of Funds Worksheet'!$F$41,0)</f>
        <v>0</v>
      </c>
      <c r="D45" s="283">
        <f>IF('Project Information'!$C$12="Yes",'Sources of Funds Worksheet'!$F$41,0)</f>
        <v>0</v>
      </c>
      <c r="E45" s="283">
        <f>IF('Project Information'!$C$12="Yes",'Sources of Funds Worksheet'!$F$41,0)</f>
        <v>0</v>
      </c>
      <c r="F45" s="283">
        <f>IF('Project Information'!$C$12="Yes",'Sources of Funds Worksheet'!$F$41,0)</f>
        <v>0</v>
      </c>
      <c r="G45" s="283">
        <f>IF('Project Information'!$C$12="Yes",'Sources of Funds Worksheet'!$F$41,0)</f>
        <v>0</v>
      </c>
      <c r="H45" s="283">
        <f>IF('Project Information'!$C$12="Yes",'Sources of Funds Worksheet'!$F$41,0)</f>
        <v>0</v>
      </c>
      <c r="I45" s="283">
        <f>IF('Project Information'!$C$12="Yes",'Sources of Funds Worksheet'!$F$41,0)</f>
        <v>0</v>
      </c>
      <c r="J45" s="283">
        <f>IF('Project Information'!$C$12="Yes",'Sources of Funds Worksheet'!$F$41,0)</f>
        <v>0</v>
      </c>
      <c r="K45" s="283">
        <f>IF('Project Information'!$C$12="Yes",'Sources of Funds Worksheet'!$F$41,0)</f>
        <v>0</v>
      </c>
      <c r="L45" s="283">
        <f>IF('Project Information'!$C$12="Yes",'Sources of Funds Worksheet'!$F$41,0)</f>
        <v>0</v>
      </c>
      <c r="M45" s="283">
        <f>IF('Project Information'!$C$12="Yes",'Sources of Funds Worksheet'!$F$41,0)</f>
        <v>0</v>
      </c>
      <c r="N45" s="283">
        <f>IF('Project Information'!$C$12="Yes",'Sources of Funds Worksheet'!$F$41,0)</f>
        <v>0</v>
      </c>
      <c r="O45" s="283">
        <f>IF('Project Information'!$C$12="Yes",'Sources of Funds Worksheet'!$F$41,0)</f>
        <v>0</v>
      </c>
      <c r="P45" s="283">
        <f>IF('Project Information'!$C$12="Yes",'Sources of Funds Worksheet'!$F$41,0)</f>
        <v>0</v>
      </c>
      <c r="Q45" s="283">
        <f>IF('Project Information'!$C$12="Yes",'Sources of Funds Worksheet'!$F$41,0)</f>
        <v>0</v>
      </c>
    </row>
    <row r="46" spans="1:19" s="255" customFormat="1" ht="12.75" customHeight="1" x14ac:dyDescent="0.2">
      <c r="A46" s="1084" t="s">
        <v>619</v>
      </c>
      <c r="B46" s="1091"/>
      <c r="C46" s="281">
        <f>C44-C45</f>
        <v>0</v>
      </c>
      <c r="D46" s="281">
        <f t="shared" ref="D46:Q46" si="50">D44-D45</f>
        <v>0</v>
      </c>
      <c r="E46" s="281">
        <f t="shared" si="50"/>
        <v>0</v>
      </c>
      <c r="F46" s="281">
        <f t="shared" si="50"/>
        <v>0</v>
      </c>
      <c r="G46" s="281">
        <f t="shared" si="50"/>
        <v>0</v>
      </c>
      <c r="H46" s="281">
        <f t="shared" si="50"/>
        <v>0</v>
      </c>
      <c r="I46" s="281">
        <f t="shared" si="50"/>
        <v>0</v>
      </c>
      <c r="J46" s="281">
        <f t="shared" si="50"/>
        <v>0</v>
      </c>
      <c r="K46" s="281">
        <f t="shared" si="50"/>
        <v>0</v>
      </c>
      <c r="L46" s="281">
        <f t="shared" si="50"/>
        <v>0</v>
      </c>
      <c r="M46" s="281">
        <f t="shared" si="50"/>
        <v>0</v>
      </c>
      <c r="N46" s="281">
        <f t="shared" si="50"/>
        <v>0</v>
      </c>
      <c r="O46" s="281">
        <f t="shared" si="50"/>
        <v>0</v>
      </c>
      <c r="P46" s="281">
        <f t="shared" si="50"/>
        <v>0</v>
      </c>
      <c r="Q46" s="281">
        <f t="shared" si="50"/>
        <v>0</v>
      </c>
      <c r="S46" s="267"/>
    </row>
    <row r="47" spans="1:19" s="255" customFormat="1" ht="12.75" customHeight="1" x14ac:dyDescent="0.2">
      <c r="A47" s="1090" t="s">
        <v>595</v>
      </c>
      <c r="B47" s="1090"/>
      <c r="C47" s="281">
        <f>C46</f>
        <v>0</v>
      </c>
      <c r="D47" s="281">
        <f>C47+D46</f>
        <v>0</v>
      </c>
      <c r="E47" s="281">
        <f t="shared" ref="E47:Q47" si="51">D47+E46</f>
        <v>0</v>
      </c>
      <c r="F47" s="281">
        <f t="shared" si="51"/>
        <v>0</v>
      </c>
      <c r="G47" s="281">
        <f t="shared" si="51"/>
        <v>0</v>
      </c>
      <c r="H47" s="281">
        <f t="shared" si="51"/>
        <v>0</v>
      </c>
      <c r="I47" s="281">
        <f t="shared" si="51"/>
        <v>0</v>
      </c>
      <c r="J47" s="281">
        <f t="shared" si="51"/>
        <v>0</v>
      </c>
      <c r="K47" s="281">
        <f t="shared" si="51"/>
        <v>0</v>
      </c>
      <c r="L47" s="281">
        <f t="shared" si="51"/>
        <v>0</v>
      </c>
      <c r="M47" s="281">
        <f t="shared" si="51"/>
        <v>0</v>
      </c>
      <c r="N47" s="281">
        <f t="shared" si="51"/>
        <v>0</v>
      </c>
      <c r="O47" s="281">
        <f t="shared" si="51"/>
        <v>0</v>
      </c>
      <c r="P47" s="281">
        <f t="shared" si="51"/>
        <v>0</v>
      </c>
      <c r="Q47" s="281">
        <f t="shared" si="51"/>
        <v>0</v>
      </c>
      <c r="R47" s="289"/>
      <c r="S47" s="267"/>
    </row>
    <row r="48" spans="1:19" s="255" customFormat="1" ht="11.25" customHeight="1" x14ac:dyDescent="0.2">
      <c r="A48" s="290"/>
      <c r="B48" s="290"/>
      <c r="C48" s="290"/>
      <c r="D48" s="289"/>
      <c r="E48" s="289"/>
      <c r="F48" s="289"/>
      <c r="G48" s="289"/>
      <c r="H48" s="289"/>
      <c r="I48" s="289"/>
      <c r="J48" s="289"/>
      <c r="K48" s="289"/>
      <c r="L48" s="289"/>
      <c r="M48" s="289"/>
      <c r="N48" s="289"/>
      <c r="O48" s="289"/>
      <c r="P48" s="289"/>
      <c r="Q48" s="289"/>
      <c r="R48" s="289"/>
      <c r="S48" s="267"/>
    </row>
    <row r="49" spans="1:17" x14ac:dyDescent="0.2">
      <c r="A49" s="290"/>
      <c r="B49" s="290"/>
      <c r="C49" s="290"/>
      <c r="D49" s="289"/>
      <c r="E49" s="289"/>
      <c r="F49" s="289"/>
      <c r="G49" s="289"/>
      <c r="H49" s="289"/>
      <c r="I49" s="289"/>
      <c r="J49" s="289"/>
      <c r="K49" s="289"/>
      <c r="L49" s="289"/>
      <c r="M49" s="289"/>
      <c r="N49" s="289"/>
      <c r="O49" s="289"/>
      <c r="P49" s="289"/>
      <c r="Q49" s="289"/>
    </row>
    <row r="50" spans="1:17" ht="17.25" customHeight="1" thickBot="1" x14ac:dyDescent="0.25">
      <c r="A50" s="247" t="s">
        <v>1451</v>
      </c>
      <c r="B50" s="247"/>
      <c r="C50" s="20"/>
      <c r="D50" s="20"/>
      <c r="E50" s="20"/>
      <c r="F50" s="105"/>
      <c r="G50" s="20"/>
      <c r="H50" s="20"/>
    </row>
    <row r="51" spans="1:17" ht="12" customHeight="1" x14ac:dyDescent="0.2">
      <c r="A51" s="1073"/>
      <c r="B51" s="1074"/>
      <c r="C51" s="1074"/>
      <c r="D51" s="1074"/>
      <c r="E51" s="1074"/>
      <c r="F51" s="1074"/>
      <c r="G51" s="1074"/>
      <c r="H51" s="1074"/>
      <c r="I51" s="1074"/>
      <c r="J51" s="1074"/>
      <c r="K51" s="1074"/>
      <c r="L51" s="1074"/>
      <c r="M51" s="1074"/>
      <c r="N51" s="1074"/>
      <c r="O51" s="1074"/>
      <c r="P51" s="1074"/>
      <c r="Q51" s="1075"/>
    </row>
    <row r="52" spans="1:17" ht="12" customHeight="1" x14ac:dyDescent="0.2">
      <c r="A52" s="1076"/>
      <c r="B52" s="1077"/>
      <c r="C52" s="1077"/>
      <c r="D52" s="1077"/>
      <c r="E52" s="1077"/>
      <c r="F52" s="1077"/>
      <c r="G52" s="1077"/>
      <c r="H52" s="1077"/>
      <c r="I52" s="1077"/>
      <c r="J52" s="1077"/>
      <c r="K52" s="1077"/>
      <c r="L52" s="1077"/>
      <c r="M52" s="1077"/>
      <c r="N52" s="1077"/>
      <c r="O52" s="1077"/>
      <c r="P52" s="1077"/>
      <c r="Q52" s="1078"/>
    </row>
    <row r="53" spans="1:17" ht="12" customHeight="1" x14ac:dyDescent="0.2">
      <c r="A53" s="1076"/>
      <c r="B53" s="1077"/>
      <c r="C53" s="1077"/>
      <c r="D53" s="1077"/>
      <c r="E53" s="1077"/>
      <c r="F53" s="1077"/>
      <c r="G53" s="1077"/>
      <c r="H53" s="1077"/>
      <c r="I53" s="1077"/>
      <c r="J53" s="1077"/>
      <c r="K53" s="1077"/>
      <c r="L53" s="1077"/>
      <c r="M53" s="1077"/>
      <c r="N53" s="1077"/>
      <c r="O53" s="1077"/>
      <c r="P53" s="1077"/>
      <c r="Q53" s="1078"/>
    </row>
    <row r="54" spans="1:17" ht="12" customHeight="1" x14ac:dyDescent="0.2">
      <c r="A54" s="1076"/>
      <c r="B54" s="1077"/>
      <c r="C54" s="1077"/>
      <c r="D54" s="1077"/>
      <c r="E54" s="1077"/>
      <c r="F54" s="1077"/>
      <c r="G54" s="1077"/>
      <c r="H54" s="1077"/>
      <c r="I54" s="1077"/>
      <c r="J54" s="1077"/>
      <c r="K54" s="1077"/>
      <c r="L54" s="1077"/>
      <c r="M54" s="1077"/>
      <c r="N54" s="1077"/>
      <c r="O54" s="1077"/>
      <c r="P54" s="1077"/>
      <c r="Q54" s="1078"/>
    </row>
    <row r="55" spans="1:17" ht="12" customHeight="1" thickBot="1" x14ac:dyDescent="0.25">
      <c r="A55" s="1079"/>
      <c r="B55" s="1080"/>
      <c r="C55" s="1080"/>
      <c r="D55" s="1080"/>
      <c r="E55" s="1080"/>
      <c r="F55" s="1080"/>
      <c r="G55" s="1080"/>
      <c r="H55" s="1080"/>
      <c r="I55" s="1080"/>
      <c r="J55" s="1080"/>
      <c r="K55" s="1080"/>
      <c r="L55" s="1080"/>
      <c r="M55" s="1080"/>
      <c r="N55" s="1080"/>
      <c r="O55" s="1080"/>
      <c r="P55" s="1080"/>
      <c r="Q55" s="1081"/>
    </row>
  </sheetData>
  <sheetProtection algorithmName="SHA-512" hashValue="/LGjp8NdBFnZFRV0y95MPNtLHNGdmJ03nDBvm9Ab8p8m09ntsdIjhWlQcaBv8dQu5j9DSC7c8515Rn81YfInPA==" saltValue="xixBUmIHKX/yBbInG2DPCg==" spinCount="100000" sheet="1" selectLockedCells="1"/>
  <customSheetViews>
    <customSheetView guid="{695F2D09-97F7-4A62-ACE9-B0C2EFD91E95}" showGridLines="0" hiddenColumns="1">
      <selection activeCell="E5" sqref="E5"/>
      <pageMargins left="0.7" right="0.7" top="0.75" bottom="0.75" header="0.3" footer="0.3"/>
      <printOptions horizontalCentered="1" verticalCentered="1"/>
      <pageSetup scale="82" fitToHeight="0" orientation="landscape" r:id="rId1"/>
      <headerFooter>
        <oddHeader>&amp;C&amp;"Arial,Bold"&amp;11FHLBank Topeka - Affordable Housing Program 
&amp;A&amp;R&amp;D</oddHeader>
        <oddFooter>&amp;LRevised 3/17/15</oddFooter>
      </headerFooter>
    </customSheetView>
  </customSheetViews>
  <mergeCells count="15">
    <mergeCell ref="A4:C4"/>
    <mergeCell ref="A3:Q3"/>
    <mergeCell ref="A2:Q2"/>
    <mergeCell ref="A51:Q55"/>
    <mergeCell ref="A18:B18"/>
    <mergeCell ref="A19:B19"/>
    <mergeCell ref="H8:L8"/>
    <mergeCell ref="A13:B13"/>
    <mergeCell ref="A11:F11"/>
    <mergeCell ref="A47:B47"/>
    <mergeCell ref="A43:B43"/>
    <mergeCell ref="A44:B44"/>
    <mergeCell ref="A45:B45"/>
    <mergeCell ref="A46:B46"/>
    <mergeCell ref="P10:Q10"/>
  </mergeCells>
  <conditionalFormatting sqref="A15">
    <cfRule type="expression" dxfId="24" priority="31" stopIfTrue="1">
      <formula>R15&lt;&gt;""</formula>
    </cfRule>
  </conditionalFormatting>
  <conditionalFormatting sqref="A15:A16">
    <cfRule type="expression" dxfId="23" priority="37" stopIfTrue="1">
      <formula>R15&lt;&gt;""</formula>
    </cfRule>
  </conditionalFormatting>
  <conditionalFormatting sqref="A15:A17 A20:A42">
    <cfRule type="expression" dxfId="22" priority="36" stopIfTrue="1">
      <formula>AND(#REF!="   R. Other: (specify)",#REF!&gt;0)</formula>
    </cfRule>
  </conditionalFormatting>
  <conditionalFormatting sqref="A17">
    <cfRule type="expression" dxfId="21" priority="16" stopIfTrue="1">
      <formula>R17&lt;&gt;""</formula>
    </cfRule>
  </conditionalFormatting>
  <conditionalFormatting sqref="A20:A26">
    <cfRule type="expression" dxfId="20" priority="38" stopIfTrue="1">
      <formula>R20&lt;&gt;""</formula>
    </cfRule>
  </conditionalFormatting>
  <conditionalFormatting sqref="A20:A42">
    <cfRule type="expression" dxfId="19" priority="43">
      <formula>#REF!&gt;0</formula>
    </cfRule>
  </conditionalFormatting>
  <conditionalFormatting sqref="A27:A33 A35:A42">
    <cfRule type="expression" dxfId="18" priority="49" stopIfTrue="1">
      <formula>R26&lt;&gt;""</formula>
    </cfRule>
  </conditionalFormatting>
  <conditionalFormatting sqref="A29">
    <cfRule type="expression" dxfId="17" priority="61" stopIfTrue="1">
      <formula>R27&lt;&gt;""</formula>
    </cfRule>
  </conditionalFormatting>
  <conditionalFormatting sqref="A30">
    <cfRule type="expression" dxfId="16" priority="59" stopIfTrue="1">
      <formula>R27&lt;&gt;""</formula>
    </cfRule>
  </conditionalFormatting>
  <conditionalFormatting sqref="A31">
    <cfRule type="expression" dxfId="15" priority="57" stopIfTrue="1">
      <formula>R27&lt;&gt;""</formula>
    </cfRule>
  </conditionalFormatting>
  <conditionalFormatting sqref="A32">
    <cfRule type="expression" dxfId="14" priority="55" stopIfTrue="1">
      <formula>R27&lt;&gt;""</formula>
    </cfRule>
  </conditionalFormatting>
  <conditionalFormatting sqref="A33">
    <cfRule type="expression" dxfId="13" priority="53" stopIfTrue="1">
      <formula>R27&lt;&gt;""</formula>
    </cfRule>
  </conditionalFormatting>
  <conditionalFormatting sqref="A34">
    <cfRule type="expression" dxfId="12" priority="51" stopIfTrue="1">
      <formula>R27&lt;&gt;""</formula>
    </cfRule>
  </conditionalFormatting>
  <conditionalFormatting sqref="B15:B17">
    <cfRule type="expression" dxfId="11" priority="14">
      <formula>C15&gt;0</formula>
    </cfRule>
  </conditionalFormatting>
  <conditionalFormatting sqref="B20:B42">
    <cfRule type="expression" dxfId="10" priority="21">
      <formula>C20&gt;0</formula>
    </cfRule>
  </conditionalFormatting>
  <conditionalFormatting sqref="F50">
    <cfRule type="containsErrors" dxfId="9" priority="25">
      <formula>ISERROR(F50)</formula>
    </cfRule>
  </conditionalFormatting>
  <conditionalFormatting sqref="K10 N10 R13:R54 A13:Q55">
    <cfRule type="expression" dxfId="8" priority="5">
      <formula>$D$9=0</formula>
    </cfRule>
    <cfRule type="expression" dxfId="7" priority="6">
      <formula>$D$9="No"</formula>
    </cfRule>
  </conditionalFormatting>
  <dataValidations count="4">
    <dataValidation allowBlank="1" showInputMessage="1" showErrorMessage="1" promptTitle="Explanation" prompt="Enter an explanation for any values that may need more detail. More detail is needed if a cost is lower or higher than normal, or if it is outside the maximum limits designated by FHLB or other funding source the project may be using (i.e. LIHTC)." sqref="A51" xr:uid="{00000000-0002-0000-0A00-000000000000}"/>
    <dataValidation type="decimal" operator="greaterThanOrEqual" allowBlank="1" showInputMessage="1" showErrorMessage="1" sqref="C15:C17 N10 K10 C20:C42" xr:uid="{00000000-0002-0000-0A00-000001000000}">
      <formula1>0</formula1>
    </dataValidation>
    <dataValidation type="list" allowBlank="1" errorTitle="Vacancy Rate" error="Vacancy rate must not exceed 7%." sqref="D10" xr:uid="{00000000-0002-0000-0A00-000002000000}">
      <formula1>"Yes, No"</formula1>
    </dataValidation>
    <dataValidation allowBlank="1" showInputMessage="1" errorTitle="Vacancy Rate" error="Vacancy rate must be between 0% and 7%." promptTitle="Supportive Service" prompt="i.e. Housing for Mental or Physical Disabled, Individuals Fleeing Domestic and/or Physical Abuse, Homeless and/or Transitional, Assisted living Facilities, Drug and Alcohol Recovery Facilities, Group Homes, etc." sqref="D9" xr:uid="{00000000-0002-0000-0A00-000003000000}"/>
  </dataValidations>
  <printOptions horizontalCentered="1" verticalCentered="1"/>
  <pageMargins left="0.7" right="0.7" top="0.75" bottom="0.75" header="0.3" footer="0.3"/>
  <pageSetup scale="63" fitToHeight="0" orientation="landscape" r:id="rId2"/>
  <headerFooter>
    <oddHeader>&amp;C&amp;"Arial,Bold"&amp;11FHLBank Topeka - Affordable Housing Program 
&amp;A&amp;R&amp;D</oddHeader>
  </headerFooter>
  <ignoredErrors>
    <ignoredError sqref="D17:Q17 D16:H16 I16:Q16" unlockedFormula="1"/>
  </ignoredErrors>
  <legacyDrawing r:id="rId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Sheet1">
    <tabColor rgb="FFFF6600"/>
  </sheetPr>
  <dimension ref="A1:N66"/>
  <sheetViews>
    <sheetView showGridLines="0" zoomScaleNormal="100" zoomScaleSheetLayoutView="100" workbookViewId="0">
      <selection activeCell="D36" sqref="D36:I36"/>
    </sheetView>
  </sheetViews>
  <sheetFormatPr defaultColWidth="7.85546875" defaultRowHeight="13.5" customHeight="1" x14ac:dyDescent="0.2"/>
  <cols>
    <col min="1" max="1" width="45.140625" style="547" customWidth="1"/>
    <col min="2" max="2" width="12.42578125" style="553" customWidth="1"/>
    <col min="3" max="3" width="25.85546875" style="553" customWidth="1"/>
    <col min="4" max="4" width="18.140625" style="553" customWidth="1"/>
    <col min="5" max="5" width="14.7109375" style="580" customWidth="1"/>
    <col min="6" max="6" width="27.7109375" style="553" bestFit="1" customWidth="1"/>
    <col min="7" max="7" width="5.5703125" style="553" customWidth="1"/>
    <col min="8" max="8" width="3.42578125" style="547" customWidth="1"/>
    <col min="9" max="9" width="53" style="581" customWidth="1"/>
    <col min="10" max="10" width="3.7109375" style="548" customWidth="1"/>
    <col min="11" max="11" width="26.140625" style="547" hidden="1" customWidth="1"/>
    <col min="12" max="12" width="16.42578125" style="547" hidden="1" customWidth="1"/>
    <col min="13" max="13" width="7.85546875" style="547" hidden="1" customWidth="1"/>
    <col min="14" max="16384" width="7.85546875" style="547"/>
  </cols>
  <sheetData>
    <row r="1" spans="1:13" ht="13.5" customHeight="1" x14ac:dyDescent="0.2">
      <c r="B1" s="1127" t="s">
        <v>184</v>
      </c>
      <c r="C1" s="1127"/>
      <c r="D1" s="1127"/>
      <c r="E1" s="1127"/>
      <c r="F1" s="1127"/>
      <c r="G1" s="1127"/>
      <c r="H1" s="1127"/>
      <c r="I1" s="1127"/>
    </row>
    <row r="2" spans="1:13" ht="13.5" customHeight="1" x14ac:dyDescent="0.2">
      <c r="B2" s="1127" t="s">
        <v>188</v>
      </c>
      <c r="C2" s="1127"/>
      <c r="D2" s="1127"/>
      <c r="E2" s="1127"/>
      <c r="F2" s="1127"/>
      <c r="G2" s="1127"/>
      <c r="H2" s="1127"/>
      <c r="I2" s="1127"/>
    </row>
    <row r="3" spans="1:13" ht="12.75" x14ac:dyDescent="0.2">
      <c r="A3" s="1133" t="s">
        <v>1520</v>
      </c>
      <c r="B3" s="1133"/>
      <c r="C3" s="1133"/>
      <c r="D3" s="1133"/>
      <c r="E3" s="806" t="s">
        <v>1754</v>
      </c>
      <c r="F3" s="807" t="str">
        <f>IF(Date="","",Date)</f>
        <v/>
      </c>
      <c r="G3" s="547"/>
      <c r="I3" s="549"/>
    </row>
    <row r="4" spans="1:13" ht="12.75" customHeight="1" x14ac:dyDescent="0.2">
      <c r="A4" s="550" t="s">
        <v>154</v>
      </c>
      <c r="B4" s="1129" t="str">
        <f>IF('Project Information'!B6="","",'Project Information'!B6)</f>
        <v/>
      </c>
      <c r="C4" s="1129"/>
      <c r="D4" s="1129"/>
      <c r="E4" s="551" t="s">
        <v>69</v>
      </c>
      <c r="F4" s="552">
        <f>'Rental Project Worksheet'!D60</f>
        <v>0</v>
      </c>
      <c r="H4" s="1128"/>
      <c r="I4" s="554"/>
    </row>
    <row r="5" spans="1:13" ht="12.75" customHeight="1" x14ac:dyDescent="0.2">
      <c r="A5" s="555"/>
      <c r="B5" s="556"/>
      <c r="C5" s="556"/>
      <c r="D5" s="556"/>
      <c r="E5" s="557"/>
      <c r="F5" s="558"/>
      <c r="H5" s="1128"/>
      <c r="I5" s="554"/>
    </row>
    <row r="6" spans="1:13" ht="17.25" customHeight="1" x14ac:dyDescent="0.25">
      <c r="A6" s="559" t="s">
        <v>153</v>
      </c>
      <c r="B6" s="560" t="s">
        <v>45</v>
      </c>
      <c r="C6" s="1127" t="s">
        <v>66</v>
      </c>
      <c r="D6" s="1127"/>
      <c r="E6" s="561" t="s">
        <v>70</v>
      </c>
      <c r="F6" s="560" t="s">
        <v>135</v>
      </c>
      <c r="G6" s="560"/>
      <c r="H6" s="1128"/>
      <c r="I6" s="562"/>
    </row>
    <row r="7" spans="1:13" ht="13.5" customHeight="1" x14ac:dyDescent="0.2">
      <c r="A7" s="547" t="s">
        <v>150</v>
      </c>
      <c r="B7" s="563">
        <f>'Housing Pro Forma'!E20</f>
        <v>0</v>
      </c>
      <c r="C7" s="1131"/>
      <c r="D7" s="1131"/>
      <c r="E7" s="564">
        <f>'Housing Pro Forma'!C20</f>
        <v>0</v>
      </c>
      <c r="F7" s="565">
        <f>IF($F$4=0,0,IF($F$4&lt;21,15%,IF($F$4&gt;=50,5%,10%)))</f>
        <v>0</v>
      </c>
      <c r="G7" s="566"/>
      <c r="H7" s="567"/>
      <c r="I7" s="562" t="str">
        <f>IF(E7&gt;F7,"Management Fee Exceeds Guideline - Explain","")</f>
        <v/>
      </c>
      <c r="K7" s="547" t="s">
        <v>1466</v>
      </c>
      <c r="M7" s="547" t="str">
        <f>IF(E7&lt;=F7,"TRUE","FALSE")</f>
        <v>TRUE</v>
      </c>
    </row>
    <row r="8" spans="1:13" ht="13.5" customHeight="1" x14ac:dyDescent="0.2">
      <c r="A8" s="547" t="s">
        <v>575</v>
      </c>
      <c r="B8" s="563">
        <f>'Housing Pro Forma'!$E$44</f>
        <v>0</v>
      </c>
      <c r="C8" s="1132">
        <f>ROUND(IF(B8=0,0,B8/$F$4),0)</f>
        <v>0</v>
      </c>
      <c r="D8" s="1132"/>
      <c r="E8" s="568" t="s">
        <v>568</v>
      </c>
      <c r="F8" s="666" t="s">
        <v>1545</v>
      </c>
      <c r="G8" s="566"/>
      <c r="H8" s="567"/>
      <c r="I8" s="569" t="str">
        <f>IF(B8=0,"",IF(C8&lt;3200,"Operating Costs does not meet Guideline - Explain",IF(C8&gt;6000,"Operating Costs Exceed Guideline - Explain","")))</f>
        <v/>
      </c>
      <c r="K8" s="547" t="s">
        <v>1468</v>
      </c>
      <c r="L8" s="547">
        <v>3200</v>
      </c>
    </row>
    <row r="9" spans="1:13" ht="13.5" customHeight="1" x14ac:dyDescent="0.2">
      <c r="A9" s="570" t="s">
        <v>638</v>
      </c>
      <c r="B9" s="756">
        <f>MAX('Housing Pro Forma'!E46:S46)</f>
        <v>0</v>
      </c>
      <c r="C9" s="757" t="e">
        <f>MIN('Housing Pro Forma'!E46:T46)/F4</f>
        <v>#DIV/0!</v>
      </c>
      <c r="D9" s="757" t="e">
        <f>MAX('Housing Pro Forma'!E46:T46)/F4</f>
        <v>#DIV/0!</v>
      </c>
      <c r="E9" s="1130" t="s">
        <v>639</v>
      </c>
      <c r="F9" s="1130"/>
      <c r="G9" s="571"/>
      <c r="H9" s="567"/>
      <c r="I9" s="572" t="str">
        <f>IF(F4=0,"",IF(AND(C9&lt;250,D9&gt;500),"Annual Replacement Reserves exceed maximum AND do not meet minimum guideline. Explain.",IF(C9&lt;250,"Annual Replacement Reserves do not meet minimum guideline. Explain.",IF(D9&gt;500,"Annual Replacement Reserves exceed maximum guideline. Explain.",""))))</f>
        <v/>
      </c>
      <c r="K9" s="547" t="s">
        <v>1469</v>
      </c>
      <c r="L9" s="547">
        <v>6000</v>
      </c>
    </row>
    <row r="10" spans="1:13" ht="13.5" customHeight="1" x14ac:dyDescent="0.2">
      <c r="A10" s="547" t="s">
        <v>572</v>
      </c>
      <c r="B10" s="573">
        <f>IF('Housing Pro Forma'!E55=0,0,SMALL('Housing Pro Forma'!E55:S55,COUNTIF('Housing Pro Forma'!E55:S55,0)+1))</f>
        <v>0</v>
      </c>
      <c r="E10" s="574"/>
      <c r="F10" s="575">
        <v>1.05</v>
      </c>
      <c r="H10" s="567"/>
      <c r="I10" s="569" t="str">
        <f>IF(B10=0,"",IF(B10&lt;F10,"Min DCR below Guideline - Explain",""))</f>
        <v/>
      </c>
      <c r="K10" s="20" t="s">
        <v>1718</v>
      </c>
      <c r="L10" s="547" t="e">
        <f>IF(OR(C9&lt;250,D9&gt;500),IF(C9&lt;250,C9,D9),D9)</f>
        <v>#DIV/0!</v>
      </c>
    </row>
    <row r="11" spans="1:13" ht="13.5" customHeight="1" x14ac:dyDescent="0.2">
      <c r="A11" s="547" t="s">
        <v>573</v>
      </c>
      <c r="B11" s="573">
        <f>MAX('Housing Pro Forma'!E55:S55)</f>
        <v>0</v>
      </c>
      <c r="E11" s="574"/>
      <c r="F11" s="575">
        <v>1.5</v>
      </c>
      <c r="H11" s="567"/>
      <c r="I11" s="569" t="str">
        <f>IF(B11&gt;F11,"Max DCR above Guideline - Explain","")</f>
        <v/>
      </c>
      <c r="K11" s="20" t="s">
        <v>1720</v>
      </c>
      <c r="L11" s="754">
        <f>IF(E12="Use DCR",IF(OR(B10&lt;1.05,B11&gt;1.5),IF(B10&lt;1.05,B10,B11),B11),"NA")</f>
        <v>0</v>
      </c>
    </row>
    <row r="12" spans="1:13" ht="13.5" customHeight="1" x14ac:dyDescent="0.2">
      <c r="A12" s="20" t="s">
        <v>1699</v>
      </c>
      <c r="B12" s="576" t="str">
        <f>IF('Development Budget Worksheet'!C117=0,"",'Sources of Funds Worksheet'!D26/'Development Budget Worksheet'!C117)</f>
        <v/>
      </c>
      <c r="E12" s="1105" t="str" cm="1">
        <f t="array" ref="E12">IF(OR($B$12&lt;3%, AND(COUNTIF('Sources of Funds Worksheet'!I10:I22, "P&amp;I Payments")=0, SUMPRODUCT( -- ('Sources of Funds Worksheet'!I10:I22 = {"Interest Only","Deferred","Cash Flow Payments"}))&gt;0)), "Use EGI%", "Use DCR")</f>
        <v>Use DCR</v>
      </c>
      <c r="F12" s="1106"/>
      <c r="H12" s="567"/>
      <c r="I12" s="562"/>
      <c r="K12" s="20" t="s">
        <v>1721</v>
      </c>
      <c r="L12" s="755" t="str">
        <f>IF(OR(E12="Use EGI%",B13&gt;0,E13&gt;0),IF(OR(B13&lt;0.85,E13&gt;1),IF(B13&lt;0.85,B13,E13),E13),"NA")</f>
        <v>NA</v>
      </c>
    </row>
    <row r="13" spans="1:13" ht="12.75" x14ac:dyDescent="0.2">
      <c r="A13" s="547" t="s">
        <v>591</v>
      </c>
      <c r="B13" s="577">
        <f>IF(SUM('Housing Pro Forma'!E56:S56)=0,0,SMALL('Housing Pro Forma'!E56:S56,COUNTIF('Housing Pro Forma'!E56:S56,0)+1))</f>
        <v>0</v>
      </c>
      <c r="C13" s="1107" t="s">
        <v>198</v>
      </c>
      <c r="D13" s="1108"/>
      <c r="E13" s="578">
        <f>IF(SUM('Housing Pro Forma'!E56:S56)=0,0,MAX('Housing Pro Forma'!E56:S56))</f>
        <v>0</v>
      </c>
      <c r="F13" s="579" t="s">
        <v>592</v>
      </c>
      <c r="H13" s="567"/>
      <c r="I13" s="562" t="str">
        <f>IF(AND(B13=0,E13=0),"",IF(B13&lt;85%,"EGI% is less than guideline. Explain.", IF(E13&gt;100%,"EGI% exceeds guideline. Explain.","")))</f>
        <v/>
      </c>
    </row>
    <row r="14" spans="1:13" ht="16.5" customHeight="1" x14ac:dyDescent="0.25">
      <c r="A14" s="559" t="s">
        <v>760</v>
      </c>
      <c r="H14" s="567"/>
    </row>
    <row r="15" spans="1:13" ht="13.5" customHeight="1" x14ac:dyDescent="0.2">
      <c r="A15" s="547" t="s">
        <v>569</v>
      </c>
      <c r="B15" s="563" t="str">
        <f>IF('Development Budget Worksheet'!$C$28&gt;0,IF('Development Budget Worksheet'!$C$29=0,'Development Budget Worksheet'!$C$34,"FALSE"),"FALSE")</f>
        <v>FALSE</v>
      </c>
      <c r="E15" s="582">
        <f>IF(B15="FALSE",0,B15/('Development Budget Worksheet'!$C$40+'Development Budget Worksheet'!C25-'Development Budget Worksheet'!$C$34))</f>
        <v>0</v>
      </c>
      <c r="F15" s="583">
        <v>0.1</v>
      </c>
      <c r="H15" s="567"/>
      <c r="I15" s="562" t="str">
        <f>IF(E15&gt;F15,"Hard Costs Contingency Exceeds Guideline for New Construction - Explain","")</f>
        <v/>
      </c>
      <c r="K15" s="547" t="s">
        <v>1417</v>
      </c>
      <c r="L15" s="584">
        <f>MAX(E15,E16,E17)</f>
        <v>0</v>
      </c>
    </row>
    <row r="16" spans="1:13" ht="13.5" customHeight="1" x14ac:dyDescent="0.2">
      <c r="A16" s="547" t="s">
        <v>570</v>
      </c>
      <c r="B16" s="563" t="str">
        <f>IF('Development Budget Worksheet'!$C$29&gt;0,IF('Development Budget Worksheet'!$C$28=0,'Development Budget Worksheet'!$C$34,"FALSE"),"FALSE")</f>
        <v>FALSE</v>
      </c>
      <c r="E16" s="582">
        <f>IF(B16="FALSE",0,B16/('Development Budget Worksheet'!$C$40+'Development Budget Worksheet'!C25-'Development Budget Worksheet'!$C$34))</f>
        <v>0</v>
      </c>
      <c r="F16" s="583">
        <v>0.15</v>
      </c>
      <c r="H16" s="567"/>
      <c r="I16" s="562" t="str">
        <f>IF(E16&gt;F16,"Hard Costs Contingency Exceeds Guideline for Rehab - Explain","")</f>
        <v/>
      </c>
      <c r="K16" s="547" t="s">
        <v>1416</v>
      </c>
      <c r="L16" s="585">
        <f>IF(E15&gt;0,F15,IF(E16&gt;0,F16,IF(E17&gt;0,F17,0)))</f>
        <v>0</v>
      </c>
    </row>
    <row r="17" spans="1:14" ht="13.5" customHeight="1" x14ac:dyDescent="0.2">
      <c r="A17" s="547" t="s">
        <v>571</v>
      </c>
      <c r="B17" s="563" t="str">
        <f>IF('Development Budget Worksheet'!$C$29&gt;0,IF('Development Budget Worksheet'!$C$28&gt;0,'Development Budget Worksheet'!$C$34,"FALSE"),"FALSE")</f>
        <v>FALSE</v>
      </c>
      <c r="E17" s="582">
        <f>IF(B17="FALSE",0,B17/('Development Budget Worksheet'!$C$40+'Development Budget Worksheet'!C25-'Development Budget Worksheet'!$C$34))</f>
        <v>0</v>
      </c>
      <c r="F17" s="586">
        <f>IF(E17=0,0,('Development Budget Worksheet'!C28/('Development Budget Worksheet'!C28+'Development Budget Worksheet'!C29)*F15)+('Development Budget Worksheet'!C29/('Development Budget Worksheet'!C28+'Development Budget Worksheet'!C29)*F16))</f>
        <v>0</v>
      </c>
      <c r="H17" s="567"/>
      <c r="I17" s="562" t="str">
        <f>IF(E17&gt;F17,"Hard Costs Contingency Exceeds Guideline for New/Rehab - Explain","")</f>
        <v/>
      </c>
      <c r="K17" s="553"/>
      <c r="L17" s="553"/>
      <c r="M17" s="587"/>
      <c r="N17" s="588"/>
    </row>
    <row r="18" spans="1:14" ht="13.5" customHeight="1" x14ac:dyDescent="0.2">
      <c r="A18" s="547" t="s">
        <v>34</v>
      </c>
      <c r="B18" s="563">
        <f>'Development Budget Worksheet'!C87</f>
        <v>0</v>
      </c>
      <c r="E18" s="589">
        <f>IF(B18=0,0,B18/('Development Budget Worksheet'!$C$92-'Development Budget Worksheet'!$C$87))</f>
        <v>0</v>
      </c>
      <c r="F18" s="583">
        <v>0.03</v>
      </c>
      <c r="H18" s="567"/>
      <c r="I18" s="562" t="str">
        <f>IF(B18=0,"",IF(('Development Budget Worksheet'!$C$92-'Development Budget Worksheet'!$C$87)=0,"Explain why soft cost contingency is included without any other soft costs.",IF(E18&gt;F18,"Cont. Soft Costs Exceed Guideline - Explain","")))</f>
        <v/>
      </c>
      <c r="K18" s="553"/>
      <c r="L18" s="553"/>
      <c r="M18" s="587"/>
      <c r="N18" s="553"/>
    </row>
    <row r="19" spans="1:14" ht="13.5" customHeight="1" x14ac:dyDescent="0.2">
      <c r="A19" s="547" t="s">
        <v>151</v>
      </c>
      <c r="B19" s="563">
        <f>'Development Budget Worksheet'!C110</f>
        <v>0</v>
      </c>
      <c r="C19" s="590" t="s">
        <v>190</v>
      </c>
      <c r="D19" s="591"/>
      <c r="E19" s="592">
        <f>IF(B19=0,0,B19/('Housing Pro Forma'!E44/12))</f>
        <v>0</v>
      </c>
      <c r="F19" s="665" t="s">
        <v>1540</v>
      </c>
      <c r="H19" s="567"/>
      <c r="I19" s="562" t="str">
        <f>IF(E19&gt;12,"Cap Operating Res. Exceed Guideline - Explain","")</f>
        <v/>
      </c>
    </row>
    <row r="20" spans="1:14" ht="13.5" customHeight="1" x14ac:dyDescent="0.2">
      <c r="A20" s="547" t="s">
        <v>605</v>
      </c>
      <c r="B20" s="594">
        <f>'Development Budget Worksheet'!C111</f>
        <v>0</v>
      </c>
      <c r="C20" s="724" t="s">
        <v>607</v>
      </c>
      <c r="D20" s="591"/>
      <c r="E20" s="592">
        <f>IF(B20=0,0,B20/('Rental Project Worksheet'!D60))</f>
        <v>0</v>
      </c>
      <c r="F20" s="593" t="s">
        <v>606</v>
      </c>
      <c r="H20" s="567"/>
      <c r="I20" s="569" t="str">
        <f>IF(E20&gt;350,"Capitalized Replacement Reserves Exceeds Guideline- Explain","")</f>
        <v/>
      </c>
      <c r="K20" s="20" t="s">
        <v>1716</v>
      </c>
      <c r="L20" s="547">
        <f>B22/15</f>
        <v>0</v>
      </c>
    </row>
    <row r="21" spans="1:14" ht="13.5" customHeight="1" x14ac:dyDescent="0.2">
      <c r="A21" s="547" t="s">
        <v>152</v>
      </c>
      <c r="B21" s="563">
        <f>'Development Budget Worksheet'!$C$113</f>
        <v>0</v>
      </c>
      <c r="C21" s="590" t="s">
        <v>191</v>
      </c>
      <c r="D21" s="591"/>
      <c r="E21" s="595">
        <f>IF(B21=0,0,B21/('Sources of Funds Worksheet'!K23/12))</f>
        <v>0</v>
      </c>
      <c r="F21" s="665" t="s">
        <v>594</v>
      </c>
      <c r="H21" s="567"/>
      <c r="I21" s="562" t="str">
        <f>IF(E21&gt;9,"Debt Service Res. Exceed Guideline - Explain","")</f>
        <v/>
      </c>
      <c r="K21" s="20" t="s">
        <v>1717</v>
      </c>
      <c r="L21" s="547">
        <f>IF(E22=0,0,E22/L20)</f>
        <v>0</v>
      </c>
    </row>
    <row r="22" spans="1:14" ht="13.5" customHeight="1" x14ac:dyDescent="0.2">
      <c r="A22" s="596" t="s">
        <v>631</v>
      </c>
      <c r="B22" s="563">
        <f>SUM('Housing Pro Forma'!E52:S52)</f>
        <v>0</v>
      </c>
      <c r="C22" s="590" t="s">
        <v>632</v>
      </c>
      <c r="D22" s="591"/>
      <c r="E22" s="597">
        <f>'Sources of Funds Worksheet'!D13</f>
        <v>0</v>
      </c>
      <c r="F22" s="598"/>
      <c r="H22" s="567"/>
      <c r="I22" s="569" t="str">
        <f>IF(E22=B22,"","DDF repayment on Pro Forma does not match DDF on Sources of funds. Explain.")</f>
        <v/>
      </c>
      <c r="K22" s="20" t="s">
        <v>1675</v>
      </c>
      <c r="L22" s="547" t="b">
        <f>IF(B22&gt;=E22,TRUE,FALSE)</f>
        <v>1</v>
      </c>
    </row>
    <row r="23" spans="1:14" ht="13.5" customHeight="1" x14ac:dyDescent="0.2">
      <c r="A23" s="132" t="s">
        <v>1631</v>
      </c>
      <c r="B23" s="563">
        <f>SUM('Development Budget Worksheet'!E31:E33)</f>
        <v>0</v>
      </c>
      <c r="C23" s="724" t="s">
        <v>1700</v>
      </c>
      <c r="D23" s="729">
        <f>SUM('Development Budget Worksheet'!E25,'Development Budget Worksheet'!E28:E30,'Development Budget Worksheet'!E35:E38)</f>
        <v>0</v>
      </c>
      <c r="E23" s="758">
        <f>IF(B23=0,0,B23/D23)</f>
        <v>0</v>
      </c>
      <c r="F23" s="586">
        <v>0.12</v>
      </c>
      <c r="H23" s="567"/>
      <c r="I23" s="562" t="str">
        <f>IF(E23&gt;F23,"Contractor Fees Exceed Guideline - Explain","")</f>
        <v/>
      </c>
    </row>
    <row r="24" spans="1:14" ht="13.5" customHeight="1" x14ac:dyDescent="0.2">
      <c r="A24" s="132" t="s">
        <v>1635</v>
      </c>
      <c r="B24" s="563">
        <f>'Development Budget Worksheet'!E106</f>
        <v>0</v>
      </c>
      <c r="C24" s="723" t="s">
        <v>1632</v>
      </c>
      <c r="D24" s="730">
        <f>'Development Budget Worksheet'!E121-'Development Budget Worksheet'!E106-'Development Budget Worksheet'!E6-MAX(0,'Feasibility Analysis Worksheet'!B23-('Feasibility Analysis Worksheet'!F23*'Feasibility Analysis Worksheet'!D23))-'Development Budget Worksheet'!E115</f>
        <v>0</v>
      </c>
      <c r="E24" s="758">
        <f>IF(B24=0,0,B24/D24)</f>
        <v>0</v>
      </c>
      <c r="F24" s="586">
        <v>0.15</v>
      </c>
      <c r="H24" s="567"/>
      <c r="I24" s="562" t="str">
        <f>IF(E24&gt;F24,"Developer Fee Exceeds Guideline - Explain","")</f>
        <v/>
      </c>
    </row>
    <row r="25" spans="1:14" ht="18" customHeight="1" x14ac:dyDescent="0.25">
      <c r="A25" s="559" t="s">
        <v>743</v>
      </c>
      <c r="H25" s="567"/>
    </row>
    <row r="26" spans="1:14" ht="13.5" customHeight="1" x14ac:dyDescent="0.2">
      <c r="A26" s="547" t="s">
        <v>729</v>
      </c>
      <c r="B26" s="642">
        <f>IFERROR('Sources of Funds Worksheet'!D8+'Sources of Funds Worksheet'!D9,0)</f>
        <v>0</v>
      </c>
      <c r="C26" s="1114">
        <f>IFERROR(B26/'Rental Project Worksheet'!$H$62,0)</f>
        <v>0</v>
      </c>
      <c r="D26" s="1114"/>
      <c r="F26" s="599">
        <v>75000</v>
      </c>
      <c r="H26" s="567"/>
      <c r="I26" s="562" t="str">
        <f>IF(C26&gt;F26,"Subsidy Per Unit Exceeds Guideline - Reduce AHP subsidy","")</f>
        <v/>
      </c>
    </row>
    <row r="27" spans="1:14" ht="13.5" customHeight="1" x14ac:dyDescent="0.2">
      <c r="A27" s="596" t="s">
        <v>155</v>
      </c>
      <c r="B27" s="563">
        <f>VLOOKUP(E27,'Sources of Funds Worksheet'!AK31:AL40,2,0)</f>
        <v>0</v>
      </c>
      <c r="E27" s="600">
        <f>MAX('Sources of Funds Worksheet'!AK31:AK40)</f>
        <v>0</v>
      </c>
      <c r="F27" s="601">
        <v>0.02</v>
      </c>
      <c r="G27" s="601"/>
      <c r="H27" s="567"/>
      <c r="I27" s="562" t="str">
        <f>IF(AND(E27=0,B27&gt;1),"Loan Fee with no Construction/Interim Loan on Sources of Funds?",IF(E27&gt;F27,"Const. Loan Fee Exceeds Guideline - Explain",""))</f>
        <v/>
      </c>
    </row>
    <row r="28" spans="1:14" ht="13.5" customHeight="1" x14ac:dyDescent="0.2">
      <c r="A28" s="547" t="s">
        <v>156</v>
      </c>
      <c r="B28" s="563">
        <f>VLOOKUP(E28,'Sources of Funds Worksheet'!AL9:AM21,2,0)</f>
        <v>0</v>
      </c>
      <c r="E28" s="600">
        <f>MAX('Sources of Funds Worksheet'!AL9:AL21)</f>
        <v>0</v>
      </c>
      <c r="F28" s="601">
        <v>0.02</v>
      </c>
      <c r="G28" s="601"/>
      <c r="H28" s="567"/>
      <c r="I28" s="562" t="str">
        <f>IF(AND(E28=0,B28&gt;1),"Loan Fee with no Permanent Loan on Sources of Funds?",IF(E28&gt;F28,"Permanent Loan Fee Exceeds Guideline - Explain",""))</f>
        <v/>
      </c>
    </row>
    <row r="29" spans="1:14" ht="13.5" customHeight="1" x14ac:dyDescent="0.2">
      <c r="A29" s="547" t="s">
        <v>615</v>
      </c>
      <c r="B29" s="671">
        <f>MAX('Sources of Funds Worksheet'!M31)</f>
        <v>0</v>
      </c>
      <c r="E29" s="602"/>
      <c r="F29" s="667" t="s">
        <v>1770</v>
      </c>
      <c r="G29" s="601"/>
      <c r="H29" s="567"/>
      <c r="I29" s="562" t="str">
        <f>IF(B29&gt;8.908%,"Construction Loan Interest Rate exceeds maximum guideline. Explain.","")</f>
        <v/>
      </c>
    </row>
    <row r="30" spans="1:14" ht="13.5" customHeight="1" x14ac:dyDescent="0.2">
      <c r="A30" s="547" t="s">
        <v>593</v>
      </c>
      <c r="B30" s="671">
        <f>MAX('Sources of Funds Worksheet'!N25,'Sources of Funds Worksheet'!O25)</f>
        <v>0</v>
      </c>
      <c r="C30" s="1109" t="s">
        <v>720</v>
      </c>
      <c r="D30" s="1110"/>
      <c r="E30" s="603">
        <f>IF(B30=0,0,VLOOKUP(B30,'Sources of Funds Worksheet'!E8:G22,3,FALSE))</f>
        <v>0</v>
      </c>
      <c r="F30" s="667" t="s">
        <v>1771</v>
      </c>
      <c r="G30" s="601"/>
      <c r="H30" s="567"/>
      <c r="I30" s="562" t="str">
        <f>IF(AND(E30&lt;=180,B30&lt;=6.908%),"",IF(AND(E30&gt;180,B30&lt;=7.135%),"","Highest Perm Loan Rate over Max allowed."))</f>
        <v/>
      </c>
    </row>
    <row r="31" spans="1:14" ht="6.75" customHeight="1" x14ac:dyDescent="0.2">
      <c r="B31" s="604"/>
    </row>
    <row r="32" spans="1:14" ht="13.5" customHeight="1" x14ac:dyDescent="0.2">
      <c r="I32" s="605"/>
    </row>
    <row r="33" spans="1:9" ht="13.5" customHeight="1" x14ac:dyDescent="0.2">
      <c r="A33" s="606" t="s">
        <v>114</v>
      </c>
    </row>
    <row r="34" spans="1:9" ht="27.75" customHeight="1" thickBot="1" x14ac:dyDescent="0.25">
      <c r="A34" s="1117" t="s">
        <v>134</v>
      </c>
      <c r="B34" s="1117"/>
      <c r="C34" s="1117"/>
      <c r="D34" s="1115" t="s">
        <v>1521</v>
      </c>
      <c r="E34" s="1116"/>
      <c r="F34" s="1116"/>
      <c r="G34" s="1116"/>
      <c r="H34" s="1116"/>
      <c r="I34" s="1116"/>
    </row>
    <row r="35" spans="1:9" ht="13.5" customHeight="1" x14ac:dyDescent="0.2">
      <c r="A35" s="1111" t="s">
        <v>784</v>
      </c>
      <c r="B35" s="1112"/>
      <c r="C35" s="1112"/>
      <c r="D35" s="1112"/>
      <c r="E35" s="1112"/>
      <c r="F35" s="1112"/>
      <c r="G35" s="1112"/>
      <c r="H35" s="1112"/>
      <c r="I35" s="1113"/>
    </row>
    <row r="36" spans="1:9" ht="12.75" x14ac:dyDescent="0.2">
      <c r="A36" s="1103" t="str">
        <f>I7</f>
        <v/>
      </c>
      <c r="B36" s="1104"/>
      <c r="C36" s="1104"/>
      <c r="D36" s="1093"/>
      <c r="E36" s="1093"/>
      <c r="F36" s="1093"/>
      <c r="G36" s="1093"/>
      <c r="H36" s="1093"/>
      <c r="I36" s="1094"/>
    </row>
    <row r="37" spans="1:9" ht="12.75" x14ac:dyDescent="0.2">
      <c r="A37" s="1101" t="str">
        <f>I8</f>
        <v/>
      </c>
      <c r="B37" s="1102"/>
      <c r="C37" s="1102"/>
      <c r="D37" s="1095"/>
      <c r="E37" s="1096"/>
      <c r="F37" s="1096"/>
      <c r="G37" s="1096"/>
      <c r="H37" s="1096"/>
      <c r="I37" s="1097"/>
    </row>
    <row r="38" spans="1:9" ht="12.75" x14ac:dyDescent="0.2">
      <c r="A38" s="1124" t="str">
        <f>I9</f>
        <v/>
      </c>
      <c r="B38" s="1125"/>
      <c r="C38" s="1126"/>
      <c r="D38" s="1095"/>
      <c r="E38" s="1096"/>
      <c r="F38" s="1096"/>
      <c r="G38" s="1096"/>
      <c r="H38" s="1096"/>
      <c r="I38" s="1097"/>
    </row>
    <row r="39" spans="1:9" ht="12.75" x14ac:dyDescent="0.2">
      <c r="A39" s="1101" t="str">
        <f>I10</f>
        <v/>
      </c>
      <c r="B39" s="1102"/>
      <c r="C39" s="1102"/>
      <c r="D39" s="1095"/>
      <c r="E39" s="1096"/>
      <c r="F39" s="1096"/>
      <c r="G39" s="1096"/>
      <c r="H39" s="1096"/>
      <c r="I39" s="1097"/>
    </row>
    <row r="40" spans="1:9" ht="12.75" x14ac:dyDescent="0.2">
      <c r="A40" s="1101" t="str">
        <f>I11</f>
        <v/>
      </c>
      <c r="B40" s="1102"/>
      <c r="C40" s="1102"/>
      <c r="D40" s="1095"/>
      <c r="E40" s="1096"/>
      <c r="F40" s="1096"/>
      <c r="G40" s="1096"/>
      <c r="H40" s="1096"/>
      <c r="I40" s="1097"/>
    </row>
    <row r="41" spans="1:9" ht="12.75" x14ac:dyDescent="0.2">
      <c r="A41" s="1101" t="str">
        <f>I13</f>
        <v/>
      </c>
      <c r="B41" s="1102"/>
      <c r="C41" s="1102"/>
      <c r="D41" s="1095"/>
      <c r="E41" s="1096"/>
      <c r="F41" s="1096"/>
      <c r="G41" s="1096"/>
      <c r="H41" s="1096"/>
      <c r="I41" s="1097"/>
    </row>
    <row r="42" spans="1:9" ht="12.75" x14ac:dyDescent="0.2">
      <c r="A42" s="1098" t="s">
        <v>785</v>
      </c>
      <c r="B42" s="1099"/>
      <c r="C42" s="1099"/>
      <c r="D42" s="1099"/>
      <c r="E42" s="1099"/>
      <c r="F42" s="1099"/>
      <c r="G42" s="1099"/>
      <c r="H42" s="1099"/>
      <c r="I42" s="1100"/>
    </row>
    <row r="43" spans="1:9" ht="12.75" x14ac:dyDescent="0.2">
      <c r="A43" s="1101" t="str">
        <f t="shared" ref="A43:A50" si="0">I15</f>
        <v/>
      </c>
      <c r="B43" s="1102"/>
      <c r="C43" s="1102"/>
      <c r="D43" s="1095"/>
      <c r="E43" s="1096"/>
      <c r="F43" s="1096"/>
      <c r="G43" s="1096"/>
      <c r="H43" s="1096"/>
      <c r="I43" s="1097"/>
    </row>
    <row r="44" spans="1:9" ht="12.75" x14ac:dyDescent="0.2">
      <c r="A44" s="1101" t="str">
        <f t="shared" si="0"/>
        <v/>
      </c>
      <c r="B44" s="1102"/>
      <c r="C44" s="1102"/>
      <c r="D44" s="1095"/>
      <c r="E44" s="1096"/>
      <c r="F44" s="1096"/>
      <c r="G44" s="1096"/>
      <c r="H44" s="1096"/>
      <c r="I44" s="1097"/>
    </row>
    <row r="45" spans="1:9" ht="12.75" x14ac:dyDescent="0.2">
      <c r="A45" s="1101" t="str">
        <f t="shared" si="0"/>
        <v/>
      </c>
      <c r="B45" s="1102"/>
      <c r="C45" s="1102"/>
      <c r="D45" s="1095"/>
      <c r="E45" s="1096"/>
      <c r="F45" s="1096"/>
      <c r="G45" s="1096"/>
      <c r="H45" s="1096"/>
      <c r="I45" s="1097"/>
    </row>
    <row r="46" spans="1:9" ht="12.75" x14ac:dyDescent="0.2">
      <c r="A46" s="1101" t="str">
        <f t="shared" si="0"/>
        <v/>
      </c>
      <c r="B46" s="1102"/>
      <c r="C46" s="1102"/>
      <c r="D46" s="1095"/>
      <c r="E46" s="1096"/>
      <c r="F46" s="1096"/>
      <c r="G46" s="1096"/>
      <c r="H46" s="1096"/>
      <c r="I46" s="1097"/>
    </row>
    <row r="47" spans="1:9" ht="12.75" x14ac:dyDescent="0.2">
      <c r="A47" s="1101" t="str">
        <f t="shared" si="0"/>
        <v/>
      </c>
      <c r="B47" s="1102"/>
      <c r="C47" s="1102"/>
      <c r="D47" s="1095"/>
      <c r="E47" s="1096"/>
      <c r="F47" s="1096"/>
      <c r="G47" s="1096"/>
      <c r="H47" s="1096"/>
      <c r="I47" s="1097"/>
    </row>
    <row r="48" spans="1:9" ht="12.75" x14ac:dyDescent="0.2">
      <c r="A48" s="1124" t="str">
        <f t="shared" si="0"/>
        <v/>
      </c>
      <c r="B48" s="1125"/>
      <c r="C48" s="1126"/>
      <c r="D48" s="1095"/>
      <c r="E48" s="1096"/>
      <c r="F48" s="1096"/>
      <c r="G48" s="1096"/>
      <c r="H48" s="1096"/>
      <c r="I48" s="1097"/>
    </row>
    <row r="49" spans="1:9" ht="12.75" x14ac:dyDescent="0.2">
      <c r="A49" s="1101" t="str">
        <f t="shared" si="0"/>
        <v/>
      </c>
      <c r="B49" s="1102"/>
      <c r="C49" s="1102"/>
      <c r="D49" s="1095"/>
      <c r="E49" s="1096"/>
      <c r="F49" s="1096"/>
      <c r="G49" s="1096"/>
      <c r="H49" s="1096"/>
      <c r="I49" s="1097"/>
    </row>
    <row r="50" spans="1:9" ht="12.75" x14ac:dyDescent="0.2">
      <c r="A50" s="1124" t="str">
        <f t="shared" si="0"/>
        <v/>
      </c>
      <c r="B50" s="1125"/>
      <c r="C50" s="1126"/>
      <c r="D50" s="1095"/>
      <c r="E50" s="1096"/>
      <c r="F50" s="1096"/>
      <c r="G50" s="1096"/>
      <c r="H50" s="1096"/>
      <c r="I50" s="1097"/>
    </row>
    <row r="51" spans="1:9" ht="12.75" x14ac:dyDescent="0.2">
      <c r="A51" s="1124" t="str">
        <f t="shared" ref="A51:A52" si="1">I23</f>
        <v/>
      </c>
      <c r="B51" s="1125"/>
      <c r="C51" s="1126"/>
      <c r="D51" s="1095"/>
      <c r="E51" s="1096"/>
      <c r="F51" s="1096"/>
      <c r="G51" s="1096"/>
      <c r="H51" s="1096"/>
      <c r="I51" s="1097"/>
    </row>
    <row r="52" spans="1:9" ht="12.75" x14ac:dyDescent="0.2">
      <c r="A52" s="1124" t="str">
        <f t="shared" si="1"/>
        <v/>
      </c>
      <c r="B52" s="1125"/>
      <c r="C52" s="1126"/>
      <c r="D52" s="1095"/>
      <c r="E52" s="1096"/>
      <c r="F52" s="1096"/>
      <c r="G52" s="1096"/>
      <c r="H52" s="1096"/>
      <c r="I52" s="1097"/>
    </row>
    <row r="53" spans="1:9" ht="12.75" x14ac:dyDescent="0.2">
      <c r="A53" s="1098" t="s">
        <v>786</v>
      </c>
      <c r="B53" s="1099"/>
      <c r="C53" s="1099"/>
      <c r="D53" s="1099"/>
      <c r="E53" s="1099"/>
      <c r="F53" s="1099"/>
      <c r="G53" s="1099"/>
      <c r="H53" s="1099"/>
      <c r="I53" s="1100"/>
    </row>
    <row r="54" spans="1:9" ht="12.75" x14ac:dyDescent="0.2">
      <c r="A54" s="1101" t="str">
        <f>I26</f>
        <v/>
      </c>
      <c r="B54" s="1102"/>
      <c r="C54" s="1102"/>
      <c r="D54" s="1095"/>
      <c r="E54" s="1096"/>
      <c r="F54" s="1096"/>
      <c r="G54" s="1096"/>
      <c r="H54" s="1096"/>
      <c r="I54" s="1097"/>
    </row>
    <row r="55" spans="1:9" ht="12.75" x14ac:dyDescent="0.2">
      <c r="A55" s="1101" t="str">
        <f>I27</f>
        <v/>
      </c>
      <c r="B55" s="1102"/>
      <c r="C55" s="1102"/>
      <c r="D55" s="1095"/>
      <c r="E55" s="1096"/>
      <c r="F55" s="1096"/>
      <c r="G55" s="1096"/>
      <c r="H55" s="1096"/>
      <c r="I55" s="1097"/>
    </row>
    <row r="56" spans="1:9" ht="12.75" x14ac:dyDescent="0.2">
      <c r="A56" s="1101" t="str">
        <f>I28</f>
        <v/>
      </c>
      <c r="B56" s="1102"/>
      <c r="C56" s="1102"/>
      <c r="D56" s="1095"/>
      <c r="E56" s="1096"/>
      <c r="F56" s="1096"/>
      <c r="G56" s="1096"/>
      <c r="H56" s="1096"/>
      <c r="I56" s="1097"/>
    </row>
    <row r="57" spans="1:9" ht="12.75" x14ac:dyDescent="0.2">
      <c r="A57" s="1124" t="str">
        <f>I29</f>
        <v/>
      </c>
      <c r="B57" s="1125"/>
      <c r="C57" s="1126"/>
      <c r="D57" s="1095"/>
      <c r="E57" s="1096"/>
      <c r="F57" s="1096"/>
      <c r="G57" s="1096"/>
      <c r="H57" s="1096"/>
      <c r="I57" s="1097"/>
    </row>
    <row r="58" spans="1:9" thickBot="1" x14ac:dyDescent="0.25">
      <c r="A58" s="1122" t="str">
        <f>I30</f>
        <v/>
      </c>
      <c r="B58" s="1123"/>
      <c r="C58" s="1123"/>
      <c r="D58" s="1119"/>
      <c r="E58" s="1120"/>
      <c r="F58" s="1120"/>
      <c r="G58" s="1120"/>
      <c r="H58" s="1120"/>
      <c r="I58" s="1121"/>
    </row>
    <row r="59" spans="1:9" ht="12.75" x14ac:dyDescent="0.2">
      <c r="E59" s="1118"/>
      <c r="F59" s="1118"/>
      <c r="G59" s="1118"/>
      <c r="H59" s="1118"/>
      <c r="I59" s="1118"/>
    </row>
    <row r="60" spans="1:9" ht="12.75" x14ac:dyDescent="0.2">
      <c r="E60" s="1118"/>
      <c r="F60" s="1118"/>
      <c r="G60" s="1118"/>
      <c r="H60" s="1118"/>
      <c r="I60" s="1118"/>
    </row>
    <row r="61" spans="1:9" ht="12.75" x14ac:dyDescent="0.2"/>
    <row r="62" spans="1:9" ht="12.75" x14ac:dyDescent="0.2"/>
    <row r="63" spans="1:9" ht="12.75" x14ac:dyDescent="0.2"/>
    <row r="64" spans="1:9" ht="12.75" x14ac:dyDescent="0.2"/>
    <row r="65" ht="12.75" x14ac:dyDescent="0.2"/>
    <row r="66" ht="12.75" x14ac:dyDescent="0.2"/>
  </sheetData>
  <sheetProtection algorithmName="SHA-512" hashValue="nDYBnJGEC2fg9sRwSHYOBIkDdg51bh0vLWkEs5VT2bX/H34nZvJb+PRlWKOaSv06jx4imAaU08Jskqxhp3g8JA==" saltValue="n7k8v84ZF8J7CaXpTcu7rg==" spinCount="100000" sheet="1" formatRows="0" selectLockedCells="1"/>
  <customSheetViews>
    <customSheetView guid="{695F2D09-97F7-4A62-ACE9-B0C2EFD91E95}" scale="110" showGridLines="0">
      <selection activeCell="E5" sqref="E5"/>
      <pageMargins left="0.7" right="0.7" top="0.75" bottom="0.75" header="0.3" footer="0.3"/>
      <printOptions horizontalCentered="1" verticalCentered="1"/>
      <pageSetup scale="70" orientation="landscape" blackAndWhite="1" r:id="rId1"/>
      <headerFooter>
        <oddHeader>&amp;C&amp;"Arial,Bold"&amp;11FHLBank Topeka - Affordable Housing Program 
&amp;A&amp;R&amp;D</oddHeader>
        <oddFooter>&amp;LRevised 3/17/15</oddFooter>
      </headerFooter>
    </customSheetView>
  </customSheetViews>
  <mergeCells count="62">
    <mergeCell ref="A54:C54"/>
    <mergeCell ref="D54:I54"/>
    <mergeCell ref="A51:C51"/>
    <mergeCell ref="D51:I51"/>
    <mergeCell ref="A52:C52"/>
    <mergeCell ref="D52:I52"/>
    <mergeCell ref="A40:C40"/>
    <mergeCell ref="A41:C41"/>
    <mergeCell ref="A38:C38"/>
    <mergeCell ref="D55:I55"/>
    <mergeCell ref="D49:I49"/>
    <mergeCell ref="D47:I47"/>
    <mergeCell ref="A55:C55"/>
    <mergeCell ref="A48:C48"/>
    <mergeCell ref="A50:C50"/>
    <mergeCell ref="D50:I50"/>
    <mergeCell ref="D48:I48"/>
    <mergeCell ref="A49:C49"/>
    <mergeCell ref="A53:I53"/>
    <mergeCell ref="A46:C46"/>
    <mergeCell ref="A47:C47"/>
    <mergeCell ref="D46:I46"/>
    <mergeCell ref="B1:I1"/>
    <mergeCell ref="B2:I2"/>
    <mergeCell ref="H4:H6"/>
    <mergeCell ref="B4:D4"/>
    <mergeCell ref="E9:F9"/>
    <mergeCell ref="C6:D6"/>
    <mergeCell ref="C7:D7"/>
    <mergeCell ref="C8:D8"/>
    <mergeCell ref="A3:D3"/>
    <mergeCell ref="E60:I60"/>
    <mergeCell ref="E59:I59"/>
    <mergeCell ref="D58:I58"/>
    <mergeCell ref="A58:C58"/>
    <mergeCell ref="A56:C56"/>
    <mergeCell ref="D57:I57"/>
    <mergeCell ref="A57:C57"/>
    <mergeCell ref="D56:I56"/>
    <mergeCell ref="E12:F12"/>
    <mergeCell ref="C13:D13"/>
    <mergeCell ref="C30:D30"/>
    <mergeCell ref="A35:I35"/>
    <mergeCell ref="C26:D26"/>
    <mergeCell ref="D34:I34"/>
    <mergeCell ref="A34:C34"/>
    <mergeCell ref="D36:I36"/>
    <mergeCell ref="D45:I45"/>
    <mergeCell ref="D44:I44"/>
    <mergeCell ref="D43:I43"/>
    <mergeCell ref="D41:I41"/>
    <mergeCell ref="D37:I37"/>
    <mergeCell ref="D38:I38"/>
    <mergeCell ref="D40:I40"/>
    <mergeCell ref="D39:I39"/>
    <mergeCell ref="A42:I42"/>
    <mergeCell ref="A43:C43"/>
    <mergeCell ref="A44:C44"/>
    <mergeCell ref="A45:C45"/>
    <mergeCell ref="A36:C36"/>
    <mergeCell ref="A37:C37"/>
    <mergeCell ref="A39:C39"/>
  </mergeCells>
  <phoneticPr fontId="12" type="noConversion"/>
  <conditionalFormatting sqref="I9">
    <cfRule type="cellIs" dxfId="6" priority="12" operator="equal">
      <formula>"If below $500, must be Rehab, Assisted Living, or Special Needs"</formula>
    </cfRule>
  </conditionalFormatting>
  <conditionalFormatting sqref="I10:I11 I20 I22:I24 A39:A40 A47:A48">
    <cfRule type="containsText" dxfId="5" priority="28" stopIfTrue="1" operator="containsText" text="Ok">
      <formula>NOT(ISERROR(SEARCH("Ok",A10)))</formula>
    </cfRule>
  </conditionalFormatting>
  <conditionalFormatting sqref="I12">
    <cfRule type="cellIs" dxfId="4" priority="22" operator="lessThan">
      <formula>0.03</formula>
    </cfRule>
  </conditionalFormatting>
  <conditionalFormatting sqref="I13">
    <cfRule type="cellIs" dxfId="3" priority="21" operator="equal">
      <formula>"Error less than guideline"</formula>
    </cfRule>
  </conditionalFormatting>
  <conditionalFormatting sqref="I13:I31 I6:I11 I33 A35:A58">
    <cfRule type="containsText" dxfId="2" priority="27" stopIfTrue="1" operator="containsText" text="OK">
      <formula>NOT(ISERROR(SEARCH("OK",A6)))</formula>
    </cfRule>
  </conditionalFormatting>
  <printOptions horizontalCentered="1" verticalCentered="1"/>
  <pageMargins left="0.7" right="0.7" top="0.75" bottom="0.75" header="0.3" footer="0.3"/>
  <pageSetup scale="67" orientation="landscape" r:id="rId2"/>
  <headerFooter>
    <oddHeader>&amp;C&amp;"Arial,Bold"&amp;11FHLBank Topeka - Affordable Housing Program 
&amp;A&amp;R&amp;D</oddHeader>
  </headerFooter>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4"/>
  <dimension ref="A1:AZ366"/>
  <sheetViews>
    <sheetView topLeftCell="A64" workbookViewId="0">
      <selection activeCell="C72" sqref="C72"/>
    </sheetView>
  </sheetViews>
  <sheetFormatPr defaultColWidth="9.140625" defaultRowHeight="12.75" x14ac:dyDescent="0.2"/>
  <cols>
    <col min="1" max="1" width="9.140625" style="674"/>
    <col min="2" max="2" width="30.42578125" style="690" bestFit="1" customWidth="1"/>
    <col min="3" max="3" width="9.140625" style="677"/>
    <col min="4" max="28" width="9.140625" style="677" customWidth="1"/>
    <col min="29" max="16384" width="9.140625" style="677"/>
  </cols>
  <sheetData>
    <row r="1" spans="2:52" ht="15" x14ac:dyDescent="0.25">
      <c r="B1" s="675"/>
      <c r="C1" s="543"/>
      <c r="D1" s="543"/>
      <c r="E1" s="543"/>
      <c r="F1" s="543"/>
      <c r="G1" s="543"/>
      <c r="H1" s="543"/>
      <c r="I1" s="543"/>
      <c r="J1" s="543"/>
      <c r="K1" s="543"/>
      <c r="L1" s="543"/>
      <c r="M1" s="543"/>
      <c r="N1" s="543"/>
      <c r="O1" s="543"/>
      <c r="P1" s="543"/>
      <c r="Q1" s="676"/>
      <c r="R1" s="676"/>
      <c r="S1" s="676"/>
      <c r="T1" s="676"/>
      <c r="U1" s="676"/>
      <c r="V1" s="676"/>
      <c r="W1" s="676"/>
      <c r="X1" s="676"/>
      <c r="Y1" s="676"/>
      <c r="Z1" s="676"/>
      <c r="AA1" s="676"/>
      <c r="AB1" s="676"/>
      <c r="AC1" s="676"/>
      <c r="AD1" s="676"/>
      <c r="AE1" s="676"/>
      <c r="AF1" s="676"/>
    </row>
    <row r="2" spans="2:52" ht="15" x14ac:dyDescent="0.25">
      <c r="B2" s="675"/>
      <c r="C2" s="543" t="s">
        <v>578</v>
      </c>
      <c r="D2" s="543" t="s">
        <v>579</v>
      </c>
      <c r="E2" s="543" t="s">
        <v>580</v>
      </c>
      <c r="F2" s="543" t="s">
        <v>581</v>
      </c>
      <c r="G2" s="543" t="s">
        <v>582</v>
      </c>
      <c r="H2" s="543" t="s">
        <v>583</v>
      </c>
      <c r="I2" s="543" t="s">
        <v>584</v>
      </c>
      <c r="J2" s="543" t="s">
        <v>585</v>
      </c>
      <c r="K2" s="543" t="s">
        <v>586</v>
      </c>
      <c r="L2" s="543" t="s">
        <v>199</v>
      </c>
      <c r="M2" s="543" t="s">
        <v>200</v>
      </c>
      <c r="N2" s="543" t="s">
        <v>201</v>
      </c>
      <c r="O2" s="543" t="s">
        <v>202</v>
      </c>
      <c r="P2" s="543" t="s">
        <v>203</v>
      </c>
      <c r="Q2" s="543" t="s">
        <v>204</v>
      </c>
      <c r="R2" s="543" t="s">
        <v>205</v>
      </c>
      <c r="S2" s="543" t="s">
        <v>206</v>
      </c>
      <c r="T2" s="543" t="s">
        <v>207</v>
      </c>
      <c r="U2" s="543" t="s">
        <v>208</v>
      </c>
      <c r="V2" s="543" t="s">
        <v>209</v>
      </c>
      <c r="W2" s="543" t="s">
        <v>210</v>
      </c>
      <c r="X2" s="543" t="s">
        <v>211</v>
      </c>
      <c r="Y2" s="543" t="s">
        <v>212</v>
      </c>
      <c r="Z2" s="543" t="s">
        <v>587</v>
      </c>
      <c r="AA2" s="543" t="s">
        <v>604</v>
      </c>
      <c r="AB2" s="543" t="s">
        <v>741</v>
      </c>
      <c r="AC2" s="543" t="s">
        <v>798</v>
      </c>
      <c r="AD2" s="543" t="s">
        <v>1483</v>
      </c>
      <c r="AE2" s="543" t="s">
        <v>1526</v>
      </c>
      <c r="AF2" s="543" t="s">
        <v>1560</v>
      </c>
      <c r="AG2" s="543" t="s">
        <v>1569</v>
      </c>
      <c r="AH2" s="543"/>
      <c r="AI2" s="543"/>
      <c r="AJ2" s="543"/>
      <c r="AK2" s="543"/>
      <c r="AL2" s="543"/>
      <c r="AM2" s="543"/>
      <c r="AN2" s="543"/>
      <c r="AO2" s="543"/>
      <c r="AP2" s="543"/>
      <c r="AQ2" s="543"/>
      <c r="AR2" s="543"/>
      <c r="AS2" s="543"/>
      <c r="AT2" s="543"/>
      <c r="AU2" s="543"/>
      <c r="AV2" s="543"/>
      <c r="AW2" s="543"/>
      <c r="AX2" s="543"/>
      <c r="AY2" s="543"/>
      <c r="AZ2" s="543"/>
    </row>
    <row r="3" spans="2:52" ht="15" x14ac:dyDescent="0.25">
      <c r="B3" s="678" t="s">
        <v>598</v>
      </c>
      <c r="C3" s="679">
        <v>17100</v>
      </c>
      <c r="D3" s="679">
        <v>17750</v>
      </c>
      <c r="E3" s="679">
        <v>18650</v>
      </c>
      <c r="F3" s="679">
        <v>20800</v>
      </c>
      <c r="G3" s="679">
        <v>20800</v>
      </c>
      <c r="H3" s="679">
        <v>20900</v>
      </c>
      <c r="I3" s="679">
        <v>22500</v>
      </c>
      <c r="J3" s="679">
        <v>23750</v>
      </c>
      <c r="K3" s="679">
        <v>24150</v>
      </c>
      <c r="L3" s="544">
        <v>25100</v>
      </c>
      <c r="M3" s="544">
        <v>26550</v>
      </c>
      <c r="N3" s="544">
        <v>27450</v>
      </c>
      <c r="O3" s="544">
        <v>28950</v>
      </c>
      <c r="P3" s="544">
        <v>29150</v>
      </c>
      <c r="Q3" s="544">
        <v>29300</v>
      </c>
      <c r="R3" s="544">
        <v>29300</v>
      </c>
      <c r="S3" s="544">
        <v>30050</v>
      </c>
      <c r="T3" s="544">
        <v>30050</v>
      </c>
      <c r="U3" s="544">
        <v>32100</v>
      </c>
      <c r="V3" s="680">
        <v>32950</v>
      </c>
      <c r="W3" s="681">
        <v>33300</v>
      </c>
      <c r="X3" s="682">
        <v>32750</v>
      </c>
      <c r="Y3" s="682">
        <v>33200</v>
      </c>
      <c r="Z3" s="682">
        <v>31550</v>
      </c>
      <c r="AA3" s="682">
        <v>30950</v>
      </c>
      <c r="AB3" s="682">
        <v>32000</v>
      </c>
      <c r="AC3" s="683">
        <v>31450</v>
      </c>
      <c r="AD3" s="683">
        <v>33100</v>
      </c>
      <c r="AE3" s="683">
        <v>34550</v>
      </c>
      <c r="AF3" s="683">
        <v>36450</v>
      </c>
      <c r="AG3" s="691">
        <v>38900</v>
      </c>
      <c r="AH3" s="691"/>
    </row>
    <row r="4" spans="2:52" ht="15" x14ac:dyDescent="0.25">
      <c r="B4" s="678" t="s">
        <v>599</v>
      </c>
      <c r="C4" s="679">
        <v>15950</v>
      </c>
      <c r="D4" s="679">
        <v>16450</v>
      </c>
      <c r="E4" s="679">
        <v>17150</v>
      </c>
      <c r="F4" s="679">
        <v>17850</v>
      </c>
      <c r="G4" s="679">
        <v>17900</v>
      </c>
      <c r="H4" s="679">
        <v>17900</v>
      </c>
      <c r="I4" s="679">
        <v>18900</v>
      </c>
      <c r="J4" s="679">
        <v>20050</v>
      </c>
      <c r="K4" s="679">
        <v>20850</v>
      </c>
      <c r="L4" s="544">
        <v>21800</v>
      </c>
      <c r="M4" s="544">
        <v>22550</v>
      </c>
      <c r="N4" s="544">
        <v>23000</v>
      </c>
      <c r="O4" s="544">
        <v>24600</v>
      </c>
      <c r="P4" s="544">
        <v>24600</v>
      </c>
      <c r="Q4" s="544">
        <v>25200</v>
      </c>
      <c r="R4" s="544">
        <v>25200</v>
      </c>
      <c r="S4" s="544">
        <v>26200</v>
      </c>
      <c r="T4" s="544">
        <v>26200</v>
      </c>
      <c r="U4" s="544">
        <v>27500</v>
      </c>
      <c r="V4" s="680">
        <v>28750</v>
      </c>
      <c r="W4" s="681">
        <v>29500</v>
      </c>
      <c r="X4" s="682">
        <v>29800</v>
      </c>
      <c r="Y4" s="682">
        <v>30200</v>
      </c>
      <c r="Z4" s="682">
        <v>29950</v>
      </c>
      <c r="AA4" s="682">
        <v>28500</v>
      </c>
      <c r="AB4" s="682">
        <v>29500</v>
      </c>
      <c r="AC4" s="683">
        <v>28350</v>
      </c>
      <c r="AD4" s="683">
        <v>29650</v>
      </c>
      <c r="AE4" s="683">
        <v>30300</v>
      </c>
      <c r="AF4" s="683">
        <v>31950</v>
      </c>
      <c r="AG4" s="691">
        <v>34200</v>
      </c>
      <c r="AH4" s="691"/>
    </row>
    <row r="5" spans="2:52" ht="15" x14ac:dyDescent="0.25">
      <c r="B5" s="684" t="s">
        <v>213</v>
      </c>
      <c r="C5" s="679">
        <v>13750</v>
      </c>
      <c r="D5" s="679">
        <v>14200</v>
      </c>
      <c r="E5" s="679">
        <v>14200</v>
      </c>
      <c r="F5" s="679">
        <v>15200</v>
      </c>
      <c r="G5" s="679">
        <v>15200</v>
      </c>
      <c r="H5" s="679">
        <v>16000</v>
      </c>
      <c r="I5" s="679">
        <v>16000</v>
      </c>
      <c r="J5" s="679">
        <v>17200</v>
      </c>
      <c r="K5" s="679">
        <v>17450</v>
      </c>
      <c r="L5" s="544">
        <v>18350</v>
      </c>
      <c r="M5" s="544">
        <v>18850</v>
      </c>
      <c r="N5" s="544">
        <v>19550</v>
      </c>
      <c r="O5" s="544">
        <v>19850</v>
      </c>
      <c r="P5" s="544">
        <v>21750</v>
      </c>
      <c r="Q5" s="544">
        <v>22600</v>
      </c>
      <c r="R5" s="544">
        <v>22600</v>
      </c>
      <c r="S5" s="544">
        <v>22600</v>
      </c>
      <c r="T5" s="544">
        <v>22600</v>
      </c>
      <c r="U5" s="544">
        <v>22850</v>
      </c>
      <c r="V5" s="680">
        <v>23250</v>
      </c>
      <c r="W5" s="681">
        <v>23750</v>
      </c>
      <c r="X5" s="682">
        <v>23900</v>
      </c>
      <c r="Y5" s="682">
        <v>24200</v>
      </c>
      <c r="Z5" s="682">
        <v>23500</v>
      </c>
      <c r="AA5" s="682">
        <v>23400</v>
      </c>
      <c r="AB5" s="682">
        <v>23550</v>
      </c>
      <c r="AC5" s="683">
        <v>24350</v>
      </c>
      <c r="AD5" s="683">
        <v>24900</v>
      </c>
      <c r="AE5" s="683">
        <v>26450</v>
      </c>
      <c r="AF5" s="683">
        <v>26450</v>
      </c>
      <c r="AG5" s="691">
        <v>27100</v>
      </c>
      <c r="AH5" s="691"/>
    </row>
    <row r="6" spans="2:52" ht="15" x14ac:dyDescent="0.25">
      <c r="B6" s="684" t="s">
        <v>214</v>
      </c>
      <c r="C6" s="679">
        <v>11500</v>
      </c>
      <c r="D6" s="679">
        <v>12000</v>
      </c>
      <c r="E6" s="679">
        <v>12100</v>
      </c>
      <c r="F6" s="679">
        <v>13200</v>
      </c>
      <c r="G6" s="679">
        <v>13200</v>
      </c>
      <c r="H6" s="679">
        <v>13350</v>
      </c>
      <c r="I6" s="679">
        <v>13650</v>
      </c>
      <c r="J6" s="679">
        <v>14750</v>
      </c>
      <c r="K6" s="679">
        <v>15050</v>
      </c>
      <c r="L6" s="544">
        <v>15900</v>
      </c>
      <c r="M6" s="544">
        <v>16250</v>
      </c>
      <c r="N6" s="544">
        <v>16900</v>
      </c>
      <c r="O6" s="544">
        <v>17100</v>
      </c>
      <c r="P6" s="544">
        <v>19250</v>
      </c>
      <c r="Q6" s="544">
        <v>20000</v>
      </c>
      <c r="R6" s="544">
        <v>20000</v>
      </c>
      <c r="S6" s="544">
        <v>20000</v>
      </c>
      <c r="T6" s="544">
        <v>20200</v>
      </c>
      <c r="U6" s="544">
        <v>21000</v>
      </c>
      <c r="V6" s="680">
        <v>21750</v>
      </c>
      <c r="W6" s="681">
        <v>21700</v>
      </c>
      <c r="X6" s="682">
        <v>21650</v>
      </c>
      <c r="Y6" s="682">
        <v>21950</v>
      </c>
      <c r="Z6" s="682">
        <v>22000</v>
      </c>
      <c r="AA6" s="682">
        <v>22500</v>
      </c>
      <c r="AB6" s="682">
        <v>22600</v>
      </c>
      <c r="AC6" s="683">
        <v>22350</v>
      </c>
      <c r="AD6" s="683">
        <v>23250</v>
      </c>
      <c r="AE6" s="683">
        <v>24100</v>
      </c>
      <c r="AF6" s="683">
        <v>26050</v>
      </c>
      <c r="AG6" s="691">
        <v>26250</v>
      </c>
      <c r="AH6" s="691"/>
    </row>
    <row r="7" spans="2:52" ht="15" x14ac:dyDescent="0.25">
      <c r="B7" s="684" t="s">
        <v>600</v>
      </c>
      <c r="C7" s="679">
        <v>20850</v>
      </c>
      <c r="D7" s="679">
        <v>21750</v>
      </c>
      <c r="E7" s="679">
        <v>23450</v>
      </c>
      <c r="F7" s="679">
        <v>24150</v>
      </c>
      <c r="G7" s="679">
        <v>25200</v>
      </c>
      <c r="H7" s="679">
        <v>25650</v>
      </c>
      <c r="I7" s="679">
        <v>25650</v>
      </c>
      <c r="J7" s="679">
        <v>25650</v>
      </c>
      <c r="K7" s="679">
        <v>25650</v>
      </c>
      <c r="L7" s="544">
        <v>25650</v>
      </c>
      <c r="M7" s="544">
        <v>26050</v>
      </c>
      <c r="N7" s="544">
        <v>27250</v>
      </c>
      <c r="O7" s="544">
        <v>27550</v>
      </c>
      <c r="P7" s="544">
        <v>28200</v>
      </c>
      <c r="Q7" s="544">
        <v>29750</v>
      </c>
      <c r="R7" s="544">
        <v>32750</v>
      </c>
      <c r="S7" s="544">
        <v>34650</v>
      </c>
      <c r="T7" s="544">
        <v>37000</v>
      </c>
      <c r="U7" s="544">
        <v>37900</v>
      </c>
      <c r="V7" s="680">
        <v>39650</v>
      </c>
      <c r="W7" s="681">
        <v>41400</v>
      </c>
      <c r="X7" s="682">
        <v>42700</v>
      </c>
      <c r="Y7" s="682">
        <v>42150</v>
      </c>
      <c r="Z7" s="682">
        <v>41400</v>
      </c>
      <c r="AA7" s="682">
        <v>40750</v>
      </c>
      <c r="AB7" s="682">
        <v>41500</v>
      </c>
      <c r="AC7" s="683">
        <v>43400</v>
      </c>
      <c r="AD7" s="683">
        <v>45050</v>
      </c>
      <c r="AE7" s="683">
        <v>48450</v>
      </c>
      <c r="AF7" s="683">
        <v>52200</v>
      </c>
      <c r="AG7" s="691">
        <v>56300</v>
      </c>
      <c r="AH7" s="691"/>
    </row>
    <row r="8" spans="2:52" ht="15" x14ac:dyDescent="0.25">
      <c r="B8" s="684" t="s">
        <v>215</v>
      </c>
      <c r="C8" s="679">
        <v>20000</v>
      </c>
      <c r="D8" s="679">
        <v>20950</v>
      </c>
      <c r="E8" s="679">
        <v>21600</v>
      </c>
      <c r="F8" s="679">
        <v>23200</v>
      </c>
      <c r="G8" s="679">
        <v>24300</v>
      </c>
      <c r="H8" s="679">
        <v>24300</v>
      </c>
      <c r="I8" s="679">
        <v>26550</v>
      </c>
      <c r="J8" s="679">
        <v>27450</v>
      </c>
      <c r="K8" s="679">
        <v>27850</v>
      </c>
      <c r="L8" s="544">
        <v>29300</v>
      </c>
      <c r="M8" s="544">
        <v>31050</v>
      </c>
      <c r="N8" s="544">
        <v>32200</v>
      </c>
      <c r="O8" s="544">
        <v>34950</v>
      </c>
      <c r="P8" s="544">
        <v>34950</v>
      </c>
      <c r="Q8" s="544">
        <v>34950</v>
      </c>
      <c r="R8" s="544">
        <v>35850</v>
      </c>
      <c r="S8" s="544">
        <v>35850</v>
      </c>
      <c r="T8" s="544">
        <v>35850</v>
      </c>
      <c r="U8" s="544">
        <v>35900</v>
      </c>
      <c r="V8" s="680">
        <v>38000</v>
      </c>
      <c r="W8" s="681">
        <v>37950</v>
      </c>
      <c r="X8" s="682">
        <v>39100</v>
      </c>
      <c r="Y8" s="682">
        <v>39650</v>
      </c>
      <c r="Z8" s="682">
        <v>38900</v>
      </c>
      <c r="AA8" s="682">
        <v>38350</v>
      </c>
      <c r="AB8" s="682">
        <v>39950</v>
      </c>
      <c r="AC8" s="683">
        <v>40050</v>
      </c>
      <c r="AD8" s="683">
        <v>41950</v>
      </c>
      <c r="AE8" s="683">
        <v>44950</v>
      </c>
      <c r="AF8" s="683">
        <v>46400</v>
      </c>
      <c r="AG8" s="691">
        <v>50000</v>
      </c>
      <c r="AH8" s="691"/>
    </row>
    <row r="9" spans="2:52" ht="15" x14ac:dyDescent="0.25">
      <c r="B9" s="684" t="s">
        <v>216</v>
      </c>
      <c r="C9" s="679">
        <v>13600</v>
      </c>
      <c r="D9" s="679">
        <v>13800</v>
      </c>
      <c r="E9" s="679">
        <v>14500</v>
      </c>
      <c r="F9" s="679">
        <v>16200</v>
      </c>
      <c r="G9" s="679">
        <v>16700</v>
      </c>
      <c r="H9" s="679">
        <v>16700</v>
      </c>
      <c r="I9" s="679">
        <v>18150</v>
      </c>
      <c r="J9" s="679">
        <v>19350</v>
      </c>
      <c r="K9" s="679">
        <v>19500</v>
      </c>
      <c r="L9" s="544">
        <v>20200</v>
      </c>
      <c r="M9" s="544">
        <v>21150</v>
      </c>
      <c r="N9" s="544">
        <v>21850</v>
      </c>
      <c r="O9" s="544">
        <v>23000</v>
      </c>
      <c r="P9" s="544">
        <v>25100</v>
      </c>
      <c r="Q9" s="544">
        <v>25850</v>
      </c>
      <c r="R9" s="544">
        <v>26950</v>
      </c>
      <c r="S9" s="544">
        <v>26950</v>
      </c>
      <c r="T9" s="544">
        <v>26950</v>
      </c>
      <c r="U9" s="544">
        <v>26950</v>
      </c>
      <c r="V9" s="680">
        <v>28200</v>
      </c>
      <c r="W9" s="681">
        <v>28200</v>
      </c>
      <c r="X9" s="682">
        <v>29600</v>
      </c>
      <c r="Y9" s="682">
        <v>30500</v>
      </c>
      <c r="Z9" s="682">
        <v>29800</v>
      </c>
      <c r="AA9" s="682">
        <v>28800</v>
      </c>
      <c r="AB9" s="682">
        <v>30350</v>
      </c>
      <c r="AC9" s="683">
        <v>30000</v>
      </c>
      <c r="AD9" s="683">
        <v>31900</v>
      </c>
      <c r="AE9" s="683">
        <v>33650</v>
      </c>
      <c r="AF9" s="683">
        <v>34050</v>
      </c>
      <c r="AG9" s="691">
        <v>35500</v>
      </c>
      <c r="AH9" s="691"/>
    </row>
    <row r="10" spans="2:52" ht="15" x14ac:dyDescent="0.25">
      <c r="B10" s="684" t="s">
        <v>217</v>
      </c>
      <c r="C10" s="679">
        <v>20000</v>
      </c>
      <c r="D10" s="679">
        <v>20950</v>
      </c>
      <c r="E10" s="679">
        <v>21600</v>
      </c>
      <c r="F10" s="679">
        <v>23200</v>
      </c>
      <c r="G10" s="679">
        <v>24300</v>
      </c>
      <c r="H10" s="679">
        <v>24300</v>
      </c>
      <c r="I10" s="679">
        <v>26550</v>
      </c>
      <c r="J10" s="679">
        <v>27450</v>
      </c>
      <c r="K10" s="679">
        <v>27850</v>
      </c>
      <c r="L10" s="544">
        <v>29300</v>
      </c>
      <c r="M10" s="544">
        <v>31050</v>
      </c>
      <c r="N10" s="544">
        <v>32200</v>
      </c>
      <c r="O10" s="544">
        <v>34950</v>
      </c>
      <c r="P10" s="544">
        <v>34950</v>
      </c>
      <c r="Q10" s="544">
        <v>34950</v>
      </c>
      <c r="R10" s="544">
        <v>35850</v>
      </c>
      <c r="S10" s="544">
        <v>35850</v>
      </c>
      <c r="T10" s="544">
        <v>35850</v>
      </c>
      <c r="U10" s="544">
        <v>35900</v>
      </c>
      <c r="V10" s="680">
        <v>38000</v>
      </c>
      <c r="W10" s="681">
        <v>37950</v>
      </c>
      <c r="X10" s="682">
        <v>39100</v>
      </c>
      <c r="Y10" s="682">
        <v>39650</v>
      </c>
      <c r="Z10" s="682">
        <v>38900</v>
      </c>
      <c r="AA10" s="682">
        <v>38350</v>
      </c>
      <c r="AB10" s="682">
        <v>39950</v>
      </c>
      <c r="AC10" s="683">
        <v>40050</v>
      </c>
      <c r="AD10" s="683">
        <v>41950</v>
      </c>
      <c r="AE10" s="683">
        <v>44950</v>
      </c>
      <c r="AF10" s="683">
        <v>46400</v>
      </c>
      <c r="AG10" s="691">
        <v>50000</v>
      </c>
      <c r="AH10" s="691"/>
    </row>
    <row r="11" spans="2:52" ht="15" x14ac:dyDescent="0.25">
      <c r="B11" s="684" t="s">
        <v>218</v>
      </c>
      <c r="C11" s="679">
        <v>13600</v>
      </c>
      <c r="D11" s="679">
        <v>13800</v>
      </c>
      <c r="E11" s="679">
        <v>14500</v>
      </c>
      <c r="F11" s="679">
        <v>16200</v>
      </c>
      <c r="G11" s="679">
        <v>16800</v>
      </c>
      <c r="H11" s="679">
        <v>17200</v>
      </c>
      <c r="I11" s="679">
        <v>18150</v>
      </c>
      <c r="J11" s="679">
        <v>19350</v>
      </c>
      <c r="K11" s="679">
        <v>19500</v>
      </c>
      <c r="L11" s="544">
        <v>20200</v>
      </c>
      <c r="M11" s="544">
        <v>21150</v>
      </c>
      <c r="N11" s="544">
        <v>21850</v>
      </c>
      <c r="O11" s="544">
        <v>23000</v>
      </c>
      <c r="P11" s="544">
        <v>25100</v>
      </c>
      <c r="Q11" s="544">
        <v>25850</v>
      </c>
      <c r="R11" s="544">
        <v>26950</v>
      </c>
      <c r="S11" s="544">
        <v>26950</v>
      </c>
      <c r="T11" s="544">
        <v>26950</v>
      </c>
      <c r="U11" s="544">
        <v>26950</v>
      </c>
      <c r="V11" s="680">
        <v>28200</v>
      </c>
      <c r="W11" s="681">
        <v>28200</v>
      </c>
      <c r="X11" s="682">
        <v>29600</v>
      </c>
      <c r="Y11" s="682">
        <v>31050</v>
      </c>
      <c r="Z11" s="682">
        <v>32600</v>
      </c>
      <c r="AA11" s="682">
        <v>34200</v>
      </c>
      <c r="AB11" s="682">
        <v>33550</v>
      </c>
      <c r="AC11" s="683">
        <v>31900</v>
      </c>
      <c r="AD11" s="683">
        <v>31900</v>
      </c>
      <c r="AE11" s="683">
        <v>33650</v>
      </c>
      <c r="AF11" s="683">
        <v>34050</v>
      </c>
      <c r="AG11" s="691">
        <v>35500</v>
      </c>
      <c r="AH11" s="691"/>
    </row>
    <row r="12" spans="2:52" ht="15" x14ac:dyDescent="0.25">
      <c r="B12" s="684" t="s">
        <v>219</v>
      </c>
      <c r="C12" s="679">
        <v>13600</v>
      </c>
      <c r="D12" s="679">
        <v>13800</v>
      </c>
      <c r="E12" s="679">
        <v>14500</v>
      </c>
      <c r="F12" s="679">
        <v>16200</v>
      </c>
      <c r="G12" s="679">
        <v>16700</v>
      </c>
      <c r="H12" s="679">
        <v>16700</v>
      </c>
      <c r="I12" s="679">
        <v>18150</v>
      </c>
      <c r="J12" s="679">
        <v>19350</v>
      </c>
      <c r="K12" s="679">
        <v>19500</v>
      </c>
      <c r="L12" s="544">
        <v>20200</v>
      </c>
      <c r="M12" s="544">
        <v>21150</v>
      </c>
      <c r="N12" s="544">
        <v>21850</v>
      </c>
      <c r="O12" s="544">
        <v>23000</v>
      </c>
      <c r="P12" s="544">
        <v>25100</v>
      </c>
      <c r="Q12" s="544">
        <v>25850</v>
      </c>
      <c r="R12" s="544">
        <v>26950</v>
      </c>
      <c r="S12" s="544">
        <v>26950</v>
      </c>
      <c r="T12" s="544">
        <v>26950</v>
      </c>
      <c r="U12" s="544">
        <v>26950</v>
      </c>
      <c r="V12" s="680">
        <v>28200</v>
      </c>
      <c r="W12" s="681">
        <v>28200</v>
      </c>
      <c r="X12" s="682">
        <v>29600</v>
      </c>
      <c r="Y12" s="682">
        <v>30500</v>
      </c>
      <c r="Z12" s="682">
        <v>29800</v>
      </c>
      <c r="AA12" s="682">
        <v>28800</v>
      </c>
      <c r="AB12" s="682">
        <v>30350</v>
      </c>
      <c r="AC12" s="683">
        <v>30000</v>
      </c>
      <c r="AD12" s="683">
        <v>31900</v>
      </c>
      <c r="AE12" s="683">
        <v>33650</v>
      </c>
      <c r="AF12" s="683">
        <v>34050</v>
      </c>
      <c r="AG12" s="691">
        <v>35500</v>
      </c>
      <c r="AH12" s="691"/>
    </row>
    <row r="13" spans="2:52" ht="15" x14ac:dyDescent="0.25">
      <c r="B13" s="684" t="s">
        <v>220</v>
      </c>
      <c r="C13" s="679">
        <v>13600</v>
      </c>
      <c r="D13" s="679">
        <v>13800</v>
      </c>
      <c r="E13" s="679">
        <v>14500</v>
      </c>
      <c r="F13" s="679">
        <v>16200</v>
      </c>
      <c r="G13" s="679">
        <v>16700</v>
      </c>
      <c r="H13" s="679">
        <v>16700</v>
      </c>
      <c r="I13" s="679">
        <v>18150</v>
      </c>
      <c r="J13" s="679">
        <v>19350</v>
      </c>
      <c r="K13" s="679">
        <v>19500</v>
      </c>
      <c r="L13" s="544">
        <v>20200</v>
      </c>
      <c r="M13" s="544">
        <v>21150</v>
      </c>
      <c r="N13" s="544">
        <v>21850</v>
      </c>
      <c r="O13" s="544">
        <v>23000</v>
      </c>
      <c r="P13" s="544">
        <v>25100</v>
      </c>
      <c r="Q13" s="544">
        <v>25850</v>
      </c>
      <c r="R13" s="544">
        <v>26950</v>
      </c>
      <c r="S13" s="544">
        <v>26950</v>
      </c>
      <c r="T13" s="544">
        <v>26950</v>
      </c>
      <c r="U13" s="544">
        <v>26950</v>
      </c>
      <c r="V13" s="680">
        <v>28200</v>
      </c>
      <c r="W13" s="681">
        <v>28200</v>
      </c>
      <c r="X13" s="682">
        <v>29600</v>
      </c>
      <c r="Y13" s="682">
        <v>30500</v>
      </c>
      <c r="Z13" s="682">
        <v>29800</v>
      </c>
      <c r="AA13" s="682">
        <v>28800</v>
      </c>
      <c r="AB13" s="682">
        <v>30350</v>
      </c>
      <c r="AC13" s="683">
        <v>30000</v>
      </c>
      <c r="AD13" s="683">
        <v>31900</v>
      </c>
      <c r="AE13" s="683">
        <v>33650</v>
      </c>
      <c r="AF13" s="683">
        <v>34050</v>
      </c>
      <c r="AG13" s="691">
        <v>35500</v>
      </c>
      <c r="AH13" s="691"/>
    </row>
    <row r="14" spans="2:52" ht="15" x14ac:dyDescent="0.25">
      <c r="B14" s="684" t="s">
        <v>221</v>
      </c>
      <c r="C14" s="679">
        <v>21650</v>
      </c>
      <c r="D14" s="679">
        <v>21950</v>
      </c>
      <c r="E14" s="679">
        <v>23900</v>
      </c>
      <c r="F14" s="679">
        <v>25250</v>
      </c>
      <c r="G14" s="679">
        <v>26900</v>
      </c>
      <c r="H14" s="679">
        <v>27100</v>
      </c>
      <c r="I14" s="679">
        <v>29150</v>
      </c>
      <c r="J14" s="679">
        <v>30600</v>
      </c>
      <c r="K14" s="679">
        <v>31550</v>
      </c>
      <c r="L14" s="544">
        <v>34350</v>
      </c>
      <c r="M14" s="544">
        <v>37000</v>
      </c>
      <c r="N14" s="544">
        <v>40700</v>
      </c>
      <c r="O14" s="544">
        <v>43500</v>
      </c>
      <c r="P14" s="544">
        <v>43500</v>
      </c>
      <c r="Q14" s="544">
        <v>43500</v>
      </c>
      <c r="R14" s="544">
        <v>43500</v>
      </c>
      <c r="S14" s="544">
        <v>43500</v>
      </c>
      <c r="T14" s="544">
        <v>43500</v>
      </c>
      <c r="U14" s="544">
        <v>43500</v>
      </c>
      <c r="V14" s="680">
        <v>44550</v>
      </c>
      <c r="W14" s="681">
        <v>44800</v>
      </c>
      <c r="X14" s="682">
        <v>46250</v>
      </c>
      <c r="Y14" s="682">
        <v>46900</v>
      </c>
      <c r="Z14" s="682">
        <v>45800</v>
      </c>
      <c r="AA14" s="682">
        <v>48050</v>
      </c>
      <c r="AB14" s="682">
        <v>49700</v>
      </c>
      <c r="AC14" s="683">
        <v>47400</v>
      </c>
      <c r="AD14" s="683">
        <v>49100</v>
      </c>
      <c r="AE14" s="683">
        <v>54300</v>
      </c>
      <c r="AF14" s="683">
        <v>56800</v>
      </c>
      <c r="AG14" s="691">
        <v>57550</v>
      </c>
      <c r="AH14" s="691"/>
    </row>
    <row r="15" spans="2:52" ht="15" x14ac:dyDescent="0.25">
      <c r="B15" s="678" t="s">
        <v>601</v>
      </c>
      <c r="C15" s="679">
        <v>20000</v>
      </c>
      <c r="D15" s="679">
        <v>20950</v>
      </c>
      <c r="E15" s="679">
        <v>21600</v>
      </c>
      <c r="F15" s="679">
        <v>23200</v>
      </c>
      <c r="G15" s="679">
        <v>24300</v>
      </c>
      <c r="H15" s="679">
        <v>24300</v>
      </c>
      <c r="I15" s="679">
        <v>26550</v>
      </c>
      <c r="J15" s="679">
        <v>27450</v>
      </c>
      <c r="K15" s="679">
        <v>27850</v>
      </c>
      <c r="L15" s="544">
        <v>29300</v>
      </c>
      <c r="M15" s="544">
        <v>31050</v>
      </c>
      <c r="N15" s="544">
        <v>32200</v>
      </c>
      <c r="O15" s="544">
        <v>34950</v>
      </c>
      <c r="P15" s="544">
        <v>34950</v>
      </c>
      <c r="Q15" s="544">
        <v>34950</v>
      </c>
      <c r="R15" s="544">
        <v>35850</v>
      </c>
      <c r="S15" s="544">
        <v>35850</v>
      </c>
      <c r="T15" s="544">
        <v>35850</v>
      </c>
      <c r="U15" s="544">
        <v>35900</v>
      </c>
      <c r="V15" s="680">
        <v>38000</v>
      </c>
      <c r="W15" s="681">
        <v>37950</v>
      </c>
      <c r="X15" s="682">
        <v>39100</v>
      </c>
      <c r="Y15" s="682">
        <v>39650</v>
      </c>
      <c r="Z15" s="682">
        <v>38900</v>
      </c>
      <c r="AA15" s="682">
        <v>38350</v>
      </c>
      <c r="AB15" s="682">
        <v>39950</v>
      </c>
      <c r="AC15" s="683">
        <v>40050</v>
      </c>
      <c r="AD15" s="683">
        <v>41950</v>
      </c>
      <c r="AE15" s="683">
        <v>44950</v>
      </c>
      <c r="AF15" s="683">
        <v>46400</v>
      </c>
      <c r="AG15" s="691">
        <v>50000</v>
      </c>
      <c r="AH15" s="691"/>
    </row>
    <row r="16" spans="2:52" ht="15" x14ac:dyDescent="0.25">
      <c r="B16" s="684" t="s">
        <v>222</v>
      </c>
      <c r="C16" s="679">
        <v>14500</v>
      </c>
      <c r="D16" s="679">
        <v>14950</v>
      </c>
      <c r="E16" s="679">
        <v>15600</v>
      </c>
      <c r="F16" s="679">
        <v>16200</v>
      </c>
      <c r="G16" s="679">
        <v>16700</v>
      </c>
      <c r="H16" s="679">
        <v>16700</v>
      </c>
      <c r="I16" s="679">
        <v>18150</v>
      </c>
      <c r="J16" s="679">
        <v>19350</v>
      </c>
      <c r="K16" s="679">
        <v>19500</v>
      </c>
      <c r="L16" s="544">
        <v>20200</v>
      </c>
      <c r="M16" s="544">
        <v>21150</v>
      </c>
      <c r="N16" s="544">
        <v>21850</v>
      </c>
      <c r="O16" s="544">
        <v>23000</v>
      </c>
      <c r="P16" s="544">
        <v>25100</v>
      </c>
      <c r="Q16" s="544">
        <v>25850</v>
      </c>
      <c r="R16" s="544">
        <v>26950</v>
      </c>
      <c r="S16" s="544">
        <v>26950</v>
      </c>
      <c r="T16" s="544">
        <v>26950</v>
      </c>
      <c r="U16" s="544">
        <v>26950</v>
      </c>
      <c r="V16" s="680">
        <v>28200</v>
      </c>
      <c r="W16" s="681">
        <v>28200</v>
      </c>
      <c r="X16" s="682">
        <v>29600</v>
      </c>
      <c r="Y16" s="682">
        <v>30500</v>
      </c>
      <c r="Z16" s="682">
        <v>29800</v>
      </c>
      <c r="AA16" s="682">
        <v>29050</v>
      </c>
      <c r="AB16" s="682">
        <v>30600</v>
      </c>
      <c r="AC16" s="683">
        <v>30600</v>
      </c>
      <c r="AD16" s="683">
        <v>31900</v>
      </c>
      <c r="AE16" s="683">
        <v>33650</v>
      </c>
      <c r="AF16" s="683">
        <v>34050</v>
      </c>
      <c r="AG16" s="691">
        <v>35650</v>
      </c>
      <c r="AH16" s="691"/>
    </row>
    <row r="17" spans="2:34" ht="15" x14ac:dyDescent="0.25">
      <c r="B17" s="684" t="s">
        <v>223</v>
      </c>
      <c r="C17" s="679">
        <v>13600</v>
      </c>
      <c r="D17" s="679">
        <v>13800</v>
      </c>
      <c r="E17" s="679">
        <v>14500</v>
      </c>
      <c r="F17" s="679">
        <v>17300</v>
      </c>
      <c r="G17" s="679">
        <v>17950</v>
      </c>
      <c r="H17" s="679">
        <v>18200</v>
      </c>
      <c r="I17" s="679">
        <v>20350</v>
      </c>
      <c r="J17" s="679">
        <v>21150</v>
      </c>
      <c r="K17" s="679">
        <v>21300</v>
      </c>
      <c r="L17" s="544">
        <v>21400</v>
      </c>
      <c r="M17" s="544">
        <v>23500</v>
      </c>
      <c r="N17" s="544">
        <v>23950</v>
      </c>
      <c r="O17" s="544">
        <v>25100</v>
      </c>
      <c r="P17" s="544">
        <v>25100</v>
      </c>
      <c r="Q17" s="544">
        <v>25850</v>
      </c>
      <c r="R17" s="544">
        <v>26950</v>
      </c>
      <c r="S17" s="544">
        <v>26950</v>
      </c>
      <c r="T17" s="544">
        <v>26950</v>
      </c>
      <c r="U17" s="544">
        <v>27550</v>
      </c>
      <c r="V17" s="680">
        <v>28250</v>
      </c>
      <c r="W17" s="681">
        <v>28200</v>
      </c>
      <c r="X17" s="682">
        <v>29600</v>
      </c>
      <c r="Y17" s="682">
        <v>31050</v>
      </c>
      <c r="Z17" s="682">
        <v>32600</v>
      </c>
      <c r="AA17" s="682">
        <v>34200</v>
      </c>
      <c r="AB17" s="682">
        <v>34100</v>
      </c>
      <c r="AC17" s="683">
        <v>32800</v>
      </c>
      <c r="AD17" s="683">
        <v>33950</v>
      </c>
      <c r="AE17" s="683">
        <v>33650</v>
      </c>
      <c r="AF17" s="683">
        <v>34050</v>
      </c>
      <c r="AG17" s="691">
        <v>36400</v>
      </c>
      <c r="AH17" s="691"/>
    </row>
    <row r="18" spans="2:34" ht="15" x14ac:dyDescent="0.25">
      <c r="B18" s="684" t="s">
        <v>224</v>
      </c>
      <c r="C18" s="679">
        <v>14750</v>
      </c>
      <c r="D18" s="679">
        <v>14950</v>
      </c>
      <c r="E18" s="679">
        <v>15600</v>
      </c>
      <c r="F18" s="679">
        <v>23700</v>
      </c>
      <c r="G18" s="679">
        <v>22350</v>
      </c>
      <c r="H18" s="679">
        <v>22700</v>
      </c>
      <c r="I18" s="679">
        <v>22700</v>
      </c>
      <c r="J18" s="679">
        <v>23350</v>
      </c>
      <c r="K18" s="679">
        <v>23700</v>
      </c>
      <c r="L18" s="544">
        <v>24200</v>
      </c>
      <c r="M18" s="544">
        <v>24400</v>
      </c>
      <c r="N18" s="544">
        <v>28950</v>
      </c>
      <c r="O18" s="544">
        <v>30650</v>
      </c>
      <c r="P18" s="544">
        <v>32400</v>
      </c>
      <c r="Q18" s="544">
        <v>32400</v>
      </c>
      <c r="R18" s="544">
        <v>35800</v>
      </c>
      <c r="S18" s="544">
        <v>35850</v>
      </c>
      <c r="T18" s="544">
        <v>35850</v>
      </c>
      <c r="U18" s="544">
        <v>35900</v>
      </c>
      <c r="V18" s="680">
        <v>38000</v>
      </c>
      <c r="W18" s="681">
        <v>37950</v>
      </c>
      <c r="X18" s="682">
        <v>39100</v>
      </c>
      <c r="Y18" s="682">
        <v>39650</v>
      </c>
      <c r="Z18" s="682">
        <v>38900</v>
      </c>
      <c r="AA18" s="682">
        <v>38350</v>
      </c>
      <c r="AB18" s="682">
        <v>39950</v>
      </c>
      <c r="AC18" s="683">
        <v>40050</v>
      </c>
      <c r="AD18" s="683">
        <v>41950</v>
      </c>
      <c r="AE18" s="683">
        <v>44950</v>
      </c>
      <c r="AF18" s="683">
        <v>46400</v>
      </c>
      <c r="AG18" s="691">
        <v>50000</v>
      </c>
      <c r="AH18" s="691"/>
    </row>
    <row r="19" spans="2:34" ht="15" x14ac:dyDescent="0.25">
      <c r="B19" s="684" t="s">
        <v>225</v>
      </c>
      <c r="C19" s="679">
        <v>13600</v>
      </c>
      <c r="D19" s="679">
        <v>13800</v>
      </c>
      <c r="E19" s="679">
        <v>14500</v>
      </c>
      <c r="F19" s="679">
        <v>16200</v>
      </c>
      <c r="G19" s="679">
        <v>16700</v>
      </c>
      <c r="H19" s="679">
        <v>16700</v>
      </c>
      <c r="I19" s="679">
        <v>18150</v>
      </c>
      <c r="J19" s="679">
        <v>19350</v>
      </c>
      <c r="K19" s="679">
        <v>19500</v>
      </c>
      <c r="L19" s="544">
        <v>20200</v>
      </c>
      <c r="M19" s="544">
        <v>21150</v>
      </c>
      <c r="N19" s="544">
        <v>21850</v>
      </c>
      <c r="O19" s="544">
        <v>23000</v>
      </c>
      <c r="P19" s="544">
        <v>25100</v>
      </c>
      <c r="Q19" s="544">
        <v>25850</v>
      </c>
      <c r="R19" s="544">
        <v>26950</v>
      </c>
      <c r="S19" s="544">
        <v>26950</v>
      </c>
      <c r="T19" s="544">
        <v>26950</v>
      </c>
      <c r="U19" s="544">
        <v>26950</v>
      </c>
      <c r="V19" s="680">
        <v>28200</v>
      </c>
      <c r="W19" s="681">
        <v>28200</v>
      </c>
      <c r="X19" s="682">
        <v>29600</v>
      </c>
      <c r="Y19" s="682">
        <v>30500</v>
      </c>
      <c r="Z19" s="682">
        <v>29800</v>
      </c>
      <c r="AA19" s="682">
        <v>28800</v>
      </c>
      <c r="AB19" s="682">
        <v>30350</v>
      </c>
      <c r="AC19" s="683">
        <v>30000</v>
      </c>
      <c r="AD19" s="683">
        <v>31900</v>
      </c>
      <c r="AE19" s="683">
        <v>33650</v>
      </c>
      <c r="AF19" s="683">
        <v>34050</v>
      </c>
      <c r="AG19" s="691">
        <v>35500</v>
      </c>
      <c r="AH19" s="691"/>
    </row>
    <row r="20" spans="2:34" ht="15" x14ac:dyDescent="0.25">
      <c r="B20" s="684" t="s">
        <v>226</v>
      </c>
      <c r="C20" s="679">
        <v>13600</v>
      </c>
      <c r="D20" s="679">
        <v>13800</v>
      </c>
      <c r="E20" s="679">
        <v>14500</v>
      </c>
      <c r="F20" s="679">
        <v>16200</v>
      </c>
      <c r="G20" s="679">
        <v>16700</v>
      </c>
      <c r="H20" s="679">
        <v>16700</v>
      </c>
      <c r="I20" s="679">
        <v>18150</v>
      </c>
      <c r="J20" s="679">
        <v>19350</v>
      </c>
      <c r="K20" s="679">
        <v>19500</v>
      </c>
      <c r="L20" s="544">
        <v>20200</v>
      </c>
      <c r="M20" s="544">
        <v>21150</v>
      </c>
      <c r="N20" s="544">
        <v>21850</v>
      </c>
      <c r="O20" s="544">
        <v>23000</v>
      </c>
      <c r="P20" s="544">
        <v>25100</v>
      </c>
      <c r="Q20" s="544">
        <v>25850</v>
      </c>
      <c r="R20" s="544">
        <v>26950</v>
      </c>
      <c r="S20" s="544">
        <v>26950</v>
      </c>
      <c r="T20" s="544">
        <v>26950</v>
      </c>
      <c r="U20" s="544">
        <v>26950</v>
      </c>
      <c r="V20" s="680">
        <v>28200</v>
      </c>
      <c r="W20" s="681">
        <v>28200</v>
      </c>
      <c r="X20" s="682">
        <v>29600</v>
      </c>
      <c r="Y20" s="682">
        <v>30500</v>
      </c>
      <c r="Z20" s="682">
        <v>29800</v>
      </c>
      <c r="AA20" s="682">
        <v>28800</v>
      </c>
      <c r="AB20" s="682">
        <v>30350</v>
      </c>
      <c r="AC20" s="683">
        <v>30000</v>
      </c>
      <c r="AD20" s="683">
        <v>31900</v>
      </c>
      <c r="AE20" s="683">
        <v>33650</v>
      </c>
      <c r="AF20" s="683">
        <v>34050</v>
      </c>
      <c r="AG20" s="691">
        <v>35500</v>
      </c>
      <c r="AH20" s="691"/>
    </row>
    <row r="21" spans="2:34" ht="15" x14ac:dyDescent="0.25">
      <c r="B21" s="684" t="s">
        <v>227</v>
      </c>
      <c r="C21" s="679">
        <v>13600</v>
      </c>
      <c r="D21" s="679">
        <v>13800</v>
      </c>
      <c r="E21" s="679">
        <v>14500</v>
      </c>
      <c r="F21" s="679">
        <v>16200</v>
      </c>
      <c r="G21" s="679">
        <v>16700</v>
      </c>
      <c r="H21" s="679">
        <v>16700</v>
      </c>
      <c r="I21" s="679">
        <v>18150</v>
      </c>
      <c r="J21" s="679">
        <v>19350</v>
      </c>
      <c r="K21" s="679">
        <v>19500</v>
      </c>
      <c r="L21" s="544">
        <v>20200</v>
      </c>
      <c r="M21" s="544">
        <v>21150</v>
      </c>
      <c r="N21" s="544">
        <v>21850</v>
      </c>
      <c r="O21" s="544">
        <v>23000</v>
      </c>
      <c r="P21" s="544">
        <v>25100</v>
      </c>
      <c r="Q21" s="544">
        <v>25850</v>
      </c>
      <c r="R21" s="544">
        <v>26950</v>
      </c>
      <c r="S21" s="544">
        <v>26950</v>
      </c>
      <c r="T21" s="544">
        <v>26950</v>
      </c>
      <c r="U21" s="544">
        <v>26950</v>
      </c>
      <c r="V21" s="680">
        <v>28200</v>
      </c>
      <c r="W21" s="681">
        <v>28200</v>
      </c>
      <c r="X21" s="682">
        <v>29600</v>
      </c>
      <c r="Y21" s="682">
        <v>30500</v>
      </c>
      <c r="Z21" s="682">
        <v>29800</v>
      </c>
      <c r="AA21" s="682">
        <v>28800</v>
      </c>
      <c r="AB21" s="682">
        <v>30350</v>
      </c>
      <c r="AC21" s="683">
        <v>30000</v>
      </c>
      <c r="AD21" s="683">
        <v>31900</v>
      </c>
      <c r="AE21" s="683">
        <v>33650</v>
      </c>
      <c r="AF21" s="683">
        <v>34050</v>
      </c>
      <c r="AG21" s="691">
        <v>35500</v>
      </c>
      <c r="AH21" s="691"/>
    </row>
    <row r="22" spans="2:34" ht="15" x14ac:dyDescent="0.25">
      <c r="B22" s="684" t="s">
        <v>228</v>
      </c>
      <c r="C22" s="679">
        <v>14500</v>
      </c>
      <c r="D22" s="679">
        <v>14950</v>
      </c>
      <c r="E22" s="679">
        <v>15600</v>
      </c>
      <c r="F22" s="679">
        <v>16200</v>
      </c>
      <c r="G22" s="679">
        <v>16700</v>
      </c>
      <c r="H22" s="679">
        <v>16700</v>
      </c>
      <c r="I22" s="679">
        <v>18150</v>
      </c>
      <c r="J22" s="679">
        <v>19350</v>
      </c>
      <c r="K22" s="679">
        <v>19500</v>
      </c>
      <c r="L22" s="544">
        <v>20200</v>
      </c>
      <c r="M22" s="544">
        <v>21150</v>
      </c>
      <c r="N22" s="544">
        <v>21850</v>
      </c>
      <c r="O22" s="544">
        <v>23000</v>
      </c>
      <c r="P22" s="544">
        <v>25100</v>
      </c>
      <c r="Q22" s="544">
        <v>25850</v>
      </c>
      <c r="R22" s="544">
        <v>26950</v>
      </c>
      <c r="S22" s="544">
        <v>26950</v>
      </c>
      <c r="T22" s="544">
        <v>26950</v>
      </c>
      <c r="U22" s="544">
        <v>26950</v>
      </c>
      <c r="V22" s="680">
        <v>28200</v>
      </c>
      <c r="W22" s="681">
        <v>28200</v>
      </c>
      <c r="X22" s="682">
        <v>29600</v>
      </c>
      <c r="Y22" s="682">
        <v>30500</v>
      </c>
      <c r="Z22" s="682">
        <v>29800</v>
      </c>
      <c r="AA22" s="682">
        <v>28800</v>
      </c>
      <c r="AB22" s="682">
        <v>30350</v>
      </c>
      <c r="AC22" s="683">
        <v>30000</v>
      </c>
      <c r="AD22" s="683">
        <v>31900</v>
      </c>
      <c r="AE22" s="683">
        <v>33650</v>
      </c>
      <c r="AF22" s="683">
        <v>34050</v>
      </c>
      <c r="AG22" s="691">
        <v>35500</v>
      </c>
      <c r="AH22" s="691"/>
    </row>
    <row r="23" spans="2:34" ht="15" x14ac:dyDescent="0.25">
      <c r="B23" s="684" t="s">
        <v>229</v>
      </c>
      <c r="C23" s="679">
        <v>17300</v>
      </c>
      <c r="D23" s="679">
        <v>17800</v>
      </c>
      <c r="E23" s="679">
        <v>18550</v>
      </c>
      <c r="F23" s="679">
        <v>19250</v>
      </c>
      <c r="G23" s="679">
        <v>16700</v>
      </c>
      <c r="H23" s="679">
        <v>16700</v>
      </c>
      <c r="I23" s="679">
        <v>18150</v>
      </c>
      <c r="J23" s="679">
        <v>19350</v>
      </c>
      <c r="K23" s="679">
        <v>19500</v>
      </c>
      <c r="L23" s="544">
        <v>20200</v>
      </c>
      <c r="M23" s="544">
        <v>21150</v>
      </c>
      <c r="N23" s="544">
        <v>21850</v>
      </c>
      <c r="O23" s="544">
        <v>23000</v>
      </c>
      <c r="P23" s="544">
        <v>25100</v>
      </c>
      <c r="Q23" s="544">
        <v>25850</v>
      </c>
      <c r="R23" s="544">
        <v>26950</v>
      </c>
      <c r="S23" s="544">
        <v>26950</v>
      </c>
      <c r="T23" s="544">
        <v>26950</v>
      </c>
      <c r="U23" s="544">
        <v>26950</v>
      </c>
      <c r="V23" s="680">
        <v>28200</v>
      </c>
      <c r="W23" s="681">
        <v>28200</v>
      </c>
      <c r="X23" s="682">
        <v>29600</v>
      </c>
      <c r="Y23" s="682">
        <v>30500</v>
      </c>
      <c r="Z23" s="682">
        <v>29800</v>
      </c>
      <c r="AA23" s="682">
        <v>28800</v>
      </c>
      <c r="AB23" s="682">
        <v>30350</v>
      </c>
      <c r="AC23" s="683">
        <v>30000</v>
      </c>
      <c r="AD23" s="683">
        <v>31900</v>
      </c>
      <c r="AE23" s="683">
        <v>33650</v>
      </c>
      <c r="AF23" s="683">
        <v>34050</v>
      </c>
      <c r="AG23" s="691">
        <v>35500</v>
      </c>
      <c r="AH23" s="691"/>
    </row>
    <row r="24" spans="2:34" ht="15" x14ac:dyDescent="0.25">
      <c r="B24" s="684" t="s">
        <v>230</v>
      </c>
      <c r="C24" s="679">
        <v>20000</v>
      </c>
      <c r="D24" s="679">
        <v>20950</v>
      </c>
      <c r="E24" s="679">
        <v>21600</v>
      </c>
      <c r="F24" s="679">
        <v>23200</v>
      </c>
      <c r="G24" s="679">
        <v>24300</v>
      </c>
      <c r="H24" s="679">
        <v>24300</v>
      </c>
      <c r="I24" s="679">
        <v>26550</v>
      </c>
      <c r="J24" s="679">
        <v>27450</v>
      </c>
      <c r="K24" s="679">
        <v>27850</v>
      </c>
      <c r="L24" s="544">
        <v>29300</v>
      </c>
      <c r="M24" s="544">
        <v>31050</v>
      </c>
      <c r="N24" s="544">
        <v>32200</v>
      </c>
      <c r="O24" s="544">
        <v>34950</v>
      </c>
      <c r="P24" s="544">
        <v>34950</v>
      </c>
      <c r="Q24" s="544">
        <v>34950</v>
      </c>
      <c r="R24" s="544">
        <v>35850</v>
      </c>
      <c r="S24" s="544">
        <v>35850</v>
      </c>
      <c r="T24" s="544">
        <v>35850</v>
      </c>
      <c r="U24" s="544">
        <v>35900</v>
      </c>
      <c r="V24" s="680">
        <v>38000</v>
      </c>
      <c r="W24" s="681">
        <v>37950</v>
      </c>
      <c r="X24" s="682">
        <v>39100</v>
      </c>
      <c r="Y24" s="682">
        <v>39650</v>
      </c>
      <c r="Z24" s="682">
        <v>38900</v>
      </c>
      <c r="AA24" s="682">
        <v>38350</v>
      </c>
      <c r="AB24" s="682">
        <v>39950</v>
      </c>
      <c r="AC24" s="683">
        <v>40050</v>
      </c>
      <c r="AD24" s="683">
        <v>41950</v>
      </c>
      <c r="AE24" s="683">
        <v>44950</v>
      </c>
      <c r="AF24" s="683">
        <v>46400</v>
      </c>
      <c r="AG24" s="691">
        <v>50000</v>
      </c>
      <c r="AH24" s="691"/>
    </row>
    <row r="25" spans="2:34" ht="15" x14ac:dyDescent="0.25">
      <c r="B25" s="684" t="s">
        <v>231</v>
      </c>
      <c r="C25" s="679">
        <v>13600</v>
      </c>
      <c r="D25" s="679">
        <v>13800</v>
      </c>
      <c r="E25" s="679">
        <v>14500</v>
      </c>
      <c r="F25" s="679">
        <v>16200</v>
      </c>
      <c r="G25" s="679">
        <v>16700</v>
      </c>
      <c r="H25" s="679">
        <v>16700</v>
      </c>
      <c r="I25" s="679">
        <v>18150</v>
      </c>
      <c r="J25" s="679">
        <v>19350</v>
      </c>
      <c r="K25" s="679">
        <v>19500</v>
      </c>
      <c r="L25" s="544">
        <v>20200</v>
      </c>
      <c r="M25" s="544">
        <v>21150</v>
      </c>
      <c r="N25" s="544">
        <v>21850</v>
      </c>
      <c r="O25" s="544">
        <v>23000</v>
      </c>
      <c r="P25" s="544">
        <v>25100</v>
      </c>
      <c r="Q25" s="544">
        <v>25850</v>
      </c>
      <c r="R25" s="544">
        <v>26950</v>
      </c>
      <c r="S25" s="544">
        <v>26950</v>
      </c>
      <c r="T25" s="544">
        <v>26950</v>
      </c>
      <c r="U25" s="544">
        <v>26950</v>
      </c>
      <c r="V25" s="680">
        <v>28200</v>
      </c>
      <c r="W25" s="681">
        <v>28200</v>
      </c>
      <c r="X25" s="682">
        <v>29600</v>
      </c>
      <c r="Y25" s="682">
        <v>30500</v>
      </c>
      <c r="Z25" s="682">
        <v>29800</v>
      </c>
      <c r="AA25" s="682">
        <v>28800</v>
      </c>
      <c r="AB25" s="682">
        <v>30350</v>
      </c>
      <c r="AC25" s="683">
        <v>30000</v>
      </c>
      <c r="AD25" s="683">
        <v>31900</v>
      </c>
      <c r="AE25" s="683">
        <v>33650</v>
      </c>
      <c r="AF25" s="683">
        <v>34050</v>
      </c>
      <c r="AG25" s="691">
        <v>35500</v>
      </c>
      <c r="AH25" s="691"/>
    </row>
    <row r="26" spans="2:34" ht="15" x14ac:dyDescent="0.25">
      <c r="B26" s="684" t="s">
        <v>232</v>
      </c>
      <c r="C26" s="679">
        <v>20000</v>
      </c>
      <c r="D26" s="679">
        <v>20950</v>
      </c>
      <c r="E26" s="679">
        <v>21600</v>
      </c>
      <c r="F26" s="679">
        <v>23200</v>
      </c>
      <c r="G26" s="679">
        <v>24300</v>
      </c>
      <c r="H26" s="679">
        <v>24300</v>
      </c>
      <c r="I26" s="679">
        <v>26550</v>
      </c>
      <c r="J26" s="679">
        <v>27450</v>
      </c>
      <c r="K26" s="679">
        <v>27850</v>
      </c>
      <c r="L26" s="544">
        <v>29300</v>
      </c>
      <c r="M26" s="544">
        <v>31050</v>
      </c>
      <c r="N26" s="544">
        <v>32200</v>
      </c>
      <c r="O26" s="544">
        <v>34950</v>
      </c>
      <c r="P26" s="544">
        <v>34950</v>
      </c>
      <c r="Q26" s="544">
        <v>34950</v>
      </c>
      <c r="R26" s="544">
        <v>35850</v>
      </c>
      <c r="S26" s="544">
        <v>35850</v>
      </c>
      <c r="T26" s="544">
        <v>35850</v>
      </c>
      <c r="U26" s="544">
        <v>35900</v>
      </c>
      <c r="V26" s="680">
        <v>38000</v>
      </c>
      <c r="W26" s="681">
        <v>37950</v>
      </c>
      <c r="X26" s="682">
        <v>39100</v>
      </c>
      <c r="Y26" s="682">
        <v>39650</v>
      </c>
      <c r="Z26" s="682">
        <v>38900</v>
      </c>
      <c r="AA26" s="682">
        <v>38350</v>
      </c>
      <c r="AB26" s="682">
        <v>39950</v>
      </c>
      <c r="AC26" s="683">
        <v>40050</v>
      </c>
      <c r="AD26" s="683">
        <v>41950</v>
      </c>
      <c r="AE26" s="683">
        <v>44950</v>
      </c>
      <c r="AF26" s="683">
        <v>46400</v>
      </c>
      <c r="AG26" s="691">
        <v>50000</v>
      </c>
      <c r="AH26" s="691"/>
    </row>
    <row r="27" spans="2:34" ht="15" x14ac:dyDescent="0.25">
      <c r="B27" s="684" t="s">
        <v>233</v>
      </c>
      <c r="C27" s="679">
        <v>18550</v>
      </c>
      <c r="D27" s="679">
        <v>19200</v>
      </c>
      <c r="E27" s="679">
        <v>20650</v>
      </c>
      <c r="F27" s="679">
        <v>23750</v>
      </c>
      <c r="G27" s="679">
        <v>25300</v>
      </c>
      <c r="H27" s="679">
        <v>25950</v>
      </c>
      <c r="I27" s="679">
        <v>28400</v>
      </c>
      <c r="J27" s="679">
        <v>29650</v>
      </c>
      <c r="K27" s="679">
        <v>30450</v>
      </c>
      <c r="L27" s="544">
        <v>32150</v>
      </c>
      <c r="M27" s="544">
        <v>34050</v>
      </c>
      <c r="N27" s="544">
        <v>35250</v>
      </c>
      <c r="O27" s="544">
        <v>37450</v>
      </c>
      <c r="P27" s="544">
        <v>37450</v>
      </c>
      <c r="Q27" s="544">
        <v>38350</v>
      </c>
      <c r="R27" s="544">
        <v>40000</v>
      </c>
      <c r="S27" s="544">
        <v>40000</v>
      </c>
      <c r="T27" s="544">
        <v>40550</v>
      </c>
      <c r="U27" s="544">
        <v>41900</v>
      </c>
      <c r="V27" s="680">
        <v>43300</v>
      </c>
      <c r="W27" s="681">
        <v>42500</v>
      </c>
      <c r="X27" s="682">
        <v>41850</v>
      </c>
      <c r="Y27" s="682">
        <v>42400</v>
      </c>
      <c r="Z27" s="682">
        <v>42850</v>
      </c>
      <c r="AA27" s="682">
        <v>43450</v>
      </c>
      <c r="AB27" s="682">
        <v>43100</v>
      </c>
      <c r="AC27" s="683">
        <v>44200</v>
      </c>
      <c r="AD27" s="683">
        <v>44750</v>
      </c>
      <c r="AE27" s="683">
        <v>43450</v>
      </c>
      <c r="AF27" s="683">
        <v>47000</v>
      </c>
      <c r="AG27" s="691">
        <v>49950</v>
      </c>
      <c r="AH27" s="691"/>
    </row>
    <row r="28" spans="2:34" ht="15" x14ac:dyDescent="0.25">
      <c r="B28" s="684" t="s">
        <v>234</v>
      </c>
      <c r="C28" s="679">
        <v>15700</v>
      </c>
      <c r="D28" s="679">
        <v>15900</v>
      </c>
      <c r="E28" s="679">
        <v>16200</v>
      </c>
      <c r="F28" s="679">
        <v>20550</v>
      </c>
      <c r="G28" s="679">
        <v>22000</v>
      </c>
      <c r="H28" s="679">
        <v>23750</v>
      </c>
      <c r="I28" s="679">
        <v>23750</v>
      </c>
      <c r="J28" s="679">
        <v>24650</v>
      </c>
      <c r="K28" s="679">
        <v>25100</v>
      </c>
      <c r="L28" s="544">
        <v>25650</v>
      </c>
      <c r="M28" s="544">
        <v>25850</v>
      </c>
      <c r="N28" s="544">
        <v>32900</v>
      </c>
      <c r="O28" s="544">
        <v>35300</v>
      </c>
      <c r="P28" s="544">
        <v>37750</v>
      </c>
      <c r="Q28" s="544">
        <v>41550</v>
      </c>
      <c r="R28" s="544">
        <v>41550</v>
      </c>
      <c r="S28" s="544">
        <v>35850</v>
      </c>
      <c r="T28" s="544">
        <v>35850</v>
      </c>
      <c r="U28" s="544">
        <v>35900</v>
      </c>
      <c r="V28" s="680">
        <v>38000</v>
      </c>
      <c r="W28" s="681">
        <v>37950</v>
      </c>
      <c r="X28" s="682">
        <v>39100</v>
      </c>
      <c r="Y28" s="682">
        <v>39650</v>
      </c>
      <c r="Z28" s="682">
        <v>38900</v>
      </c>
      <c r="AA28" s="682">
        <v>38350</v>
      </c>
      <c r="AB28" s="682">
        <v>39950</v>
      </c>
      <c r="AC28" s="683">
        <v>40050</v>
      </c>
      <c r="AD28" s="683">
        <v>41950</v>
      </c>
      <c r="AE28" s="683">
        <v>44950</v>
      </c>
      <c r="AF28" s="683">
        <v>46400</v>
      </c>
      <c r="AG28" s="691">
        <v>50000</v>
      </c>
      <c r="AH28" s="691"/>
    </row>
    <row r="29" spans="2:34" ht="15" x14ac:dyDescent="0.25">
      <c r="B29" s="684" t="s">
        <v>235</v>
      </c>
      <c r="C29" s="679">
        <v>17000</v>
      </c>
      <c r="D29" s="679">
        <v>17050</v>
      </c>
      <c r="E29" s="679">
        <v>17950</v>
      </c>
      <c r="F29" s="679">
        <v>19550</v>
      </c>
      <c r="G29" s="679">
        <v>20100</v>
      </c>
      <c r="H29" s="679">
        <v>20100</v>
      </c>
      <c r="I29" s="679">
        <v>21500</v>
      </c>
      <c r="J29" s="679">
        <v>22650</v>
      </c>
      <c r="K29" s="679">
        <v>22900</v>
      </c>
      <c r="L29" s="544">
        <v>24000</v>
      </c>
      <c r="M29" s="544">
        <v>25650</v>
      </c>
      <c r="N29" s="544">
        <v>26800</v>
      </c>
      <c r="O29" s="544">
        <v>28400</v>
      </c>
      <c r="P29" s="544">
        <v>29850</v>
      </c>
      <c r="Q29" s="544">
        <v>31050</v>
      </c>
      <c r="R29" s="544">
        <v>31700</v>
      </c>
      <c r="S29" s="544">
        <v>31700</v>
      </c>
      <c r="T29" s="544">
        <v>32750</v>
      </c>
      <c r="U29" s="544">
        <v>34000</v>
      </c>
      <c r="V29" s="680">
        <v>35400</v>
      </c>
      <c r="W29" s="681">
        <v>35300</v>
      </c>
      <c r="X29" s="682">
        <v>36250</v>
      </c>
      <c r="Y29" s="682">
        <v>36700</v>
      </c>
      <c r="Z29" s="682">
        <v>34900</v>
      </c>
      <c r="AA29" s="682">
        <v>35000</v>
      </c>
      <c r="AB29" s="682">
        <v>36500</v>
      </c>
      <c r="AC29" s="683">
        <v>35500</v>
      </c>
      <c r="AD29" s="683">
        <v>36800</v>
      </c>
      <c r="AE29" s="683">
        <v>38850</v>
      </c>
      <c r="AF29" s="683">
        <v>40700</v>
      </c>
      <c r="AG29" s="691">
        <v>40800</v>
      </c>
      <c r="AH29" s="691"/>
    </row>
    <row r="30" spans="2:34" ht="15" x14ac:dyDescent="0.25">
      <c r="B30" s="684" t="s">
        <v>236</v>
      </c>
      <c r="C30" s="679">
        <v>14500</v>
      </c>
      <c r="D30" s="679">
        <v>14950</v>
      </c>
      <c r="E30" s="679">
        <v>15600</v>
      </c>
      <c r="F30" s="679">
        <v>16200</v>
      </c>
      <c r="G30" s="679">
        <v>16700</v>
      </c>
      <c r="H30" s="679">
        <v>16700</v>
      </c>
      <c r="I30" s="679">
        <v>18150</v>
      </c>
      <c r="J30" s="679">
        <v>19350</v>
      </c>
      <c r="K30" s="679">
        <v>19500</v>
      </c>
      <c r="L30" s="544">
        <v>20200</v>
      </c>
      <c r="M30" s="544">
        <v>21150</v>
      </c>
      <c r="N30" s="544">
        <v>21850</v>
      </c>
      <c r="O30" s="544">
        <v>23000</v>
      </c>
      <c r="P30" s="544">
        <v>25100</v>
      </c>
      <c r="Q30" s="544">
        <v>25850</v>
      </c>
      <c r="R30" s="544">
        <v>26950</v>
      </c>
      <c r="S30" s="544">
        <v>26950</v>
      </c>
      <c r="T30" s="544">
        <v>26950</v>
      </c>
      <c r="U30" s="544">
        <v>26950</v>
      </c>
      <c r="V30" s="680">
        <v>28200</v>
      </c>
      <c r="W30" s="681">
        <v>28200</v>
      </c>
      <c r="X30" s="682">
        <v>29600</v>
      </c>
      <c r="Y30" s="682">
        <v>30500</v>
      </c>
      <c r="Z30" s="682">
        <v>29800</v>
      </c>
      <c r="AA30" s="682">
        <v>28800</v>
      </c>
      <c r="AB30" s="682">
        <v>30350</v>
      </c>
      <c r="AC30" s="683">
        <v>30000</v>
      </c>
      <c r="AD30" s="683">
        <v>31900</v>
      </c>
      <c r="AE30" s="683">
        <v>33650</v>
      </c>
      <c r="AF30" s="683">
        <v>34050</v>
      </c>
      <c r="AG30" s="691">
        <v>35500</v>
      </c>
      <c r="AH30" s="691"/>
    </row>
    <row r="31" spans="2:34" ht="15" x14ac:dyDescent="0.25">
      <c r="B31" s="684" t="s">
        <v>237</v>
      </c>
      <c r="C31" s="679">
        <v>17150</v>
      </c>
      <c r="D31" s="679">
        <v>17150</v>
      </c>
      <c r="E31" s="679">
        <v>18300</v>
      </c>
      <c r="F31" s="679">
        <v>18650</v>
      </c>
      <c r="G31" s="679">
        <v>19700</v>
      </c>
      <c r="H31" s="679">
        <v>19700</v>
      </c>
      <c r="I31" s="679">
        <v>19750</v>
      </c>
      <c r="J31" s="679">
        <v>21000</v>
      </c>
      <c r="K31" s="679">
        <v>21600</v>
      </c>
      <c r="L31" s="544">
        <v>22550</v>
      </c>
      <c r="M31" s="544">
        <v>23700</v>
      </c>
      <c r="N31" s="544">
        <v>24800</v>
      </c>
      <c r="O31" s="544">
        <v>26450</v>
      </c>
      <c r="P31" s="544">
        <v>29200</v>
      </c>
      <c r="Q31" s="544">
        <v>30300</v>
      </c>
      <c r="R31" s="544">
        <v>31600</v>
      </c>
      <c r="S31" s="544">
        <v>31600</v>
      </c>
      <c r="T31" s="544">
        <v>32000</v>
      </c>
      <c r="U31" s="544">
        <v>33250</v>
      </c>
      <c r="V31" s="680">
        <v>35700</v>
      </c>
      <c r="W31" s="681">
        <v>36100</v>
      </c>
      <c r="X31" s="682">
        <v>37900</v>
      </c>
      <c r="Y31" s="682">
        <v>38950</v>
      </c>
      <c r="Z31" s="682">
        <v>37250</v>
      </c>
      <c r="AA31" s="682">
        <v>36950</v>
      </c>
      <c r="AB31" s="682">
        <v>36650</v>
      </c>
      <c r="AC31" s="683">
        <v>34850</v>
      </c>
      <c r="AD31" s="683">
        <v>35200</v>
      </c>
      <c r="AE31" s="683">
        <v>35750</v>
      </c>
      <c r="AF31" s="683">
        <v>39300</v>
      </c>
      <c r="AG31" s="691">
        <v>42250</v>
      </c>
      <c r="AH31" s="691"/>
    </row>
    <row r="32" spans="2:34" ht="15" x14ac:dyDescent="0.25">
      <c r="B32" s="684" t="s">
        <v>238</v>
      </c>
      <c r="C32" s="679">
        <v>15300</v>
      </c>
      <c r="D32" s="679">
        <v>15300</v>
      </c>
      <c r="E32" s="679">
        <v>15600</v>
      </c>
      <c r="F32" s="679">
        <v>20850</v>
      </c>
      <c r="G32" s="679">
        <v>22250</v>
      </c>
      <c r="H32" s="679">
        <v>22850</v>
      </c>
      <c r="I32" s="679">
        <v>25000</v>
      </c>
      <c r="J32" s="679">
        <v>26150</v>
      </c>
      <c r="K32" s="679">
        <v>28750</v>
      </c>
      <c r="L32" s="544">
        <v>30900</v>
      </c>
      <c r="M32" s="544">
        <v>31200</v>
      </c>
      <c r="N32" s="544">
        <v>37350</v>
      </c>
      <c r="O32" s="544">
        <v>40850</v>
      </c>
      <c r="P32" s="544">
        <v>40850</v>
      </c>
      <c r="Q32" s="544">
        <v>40850</v>
      </c>
      <c r="R32" s="544">
        <v>40850</v>
      </c>
      <c r="S32" s="544">
        <v>35850</v>
      </c>
      <c r="T32" s="544">
        <v>35850</v>
      </c>
      <c r="U32" s="544">
        <v>35900</v>
      </c>
      <c r="V32" s="680">
        <v>38000</v>
      </c>
      <c r="W32" s="681">
        <v>37950</v>
      </c>
      <c r="X32" s="682">
        <v>39100</v>
      </c>
      <c r="Y32" s="682">
        <v>39650</v>
      </c>
      <c r="Z32" s="682">
        <v>38900</v>
      </c>
      <c r="AA32" s="682">
        <v>38350</v>
      </c>
      <c r="AB32" s="682">
        <v>39950</v>
      </c>
      <c r="AC32" s="683">
        <v>40050</v>
      </c>
      <c r="AD32" s="683">
        <v>41950</v>
      </c>
      <c r="AE32" s="683">
        <v>44950</v>
      </c>
      <c r="AF32" s="683">
        <v>46400</v>
      </c>
      <c r="AG32" s="691">
        <v>50000</v>
      </c>
      <c r="AH32" s="691"/>
    </row>
    <row r="33" spans="2:34" ht="15" x14ac:dyDescent="0.25">
      <c r="B33" s="684" t="s">
        <v>239</v>
      </c>
      <c r="C33" s="679">
        <v>17300</v>
      </c>
      <c r="D33" s="679">
        <v>17800</v>
      </c>
      <c r="E33" s="679">
        <v>18550</v>
      </c>
      <c r="F33" s="679">
        <v>19650</v>
      </c>
      <c r="G33" s="679">
        <v>19900</v>
      </c>
      <c r="H33" s="679">
        <v>19900</v>
      </c>
      <c r="I33" s="679">
        <v>21550</v>
      </c>
      <c r="J33" s="679">
        <v>22950</v>
      </c>
      <c r="K33" s="679">
        <v>22950</v>
      </c>
      <c r="L33" s="544">
        <v>23400</v>
      </c>
      <c r="M33" s="544">
        <v>24350</v>
      </c>
      <c r="N33" s="544">
        <v>24800</v>
      </c>
      <c r="O33" s="544">
        <v>27150</v>
      </c>
      <c r="P33" s="544">
        <v>30100</v>
      </c>
      <c r="Q33" s="544">
        <v>31300</v>
      </c>
      <c r="R33" s="544">
        <v>32550</v>
      </c>
      <c r="S33" s="544">
        <v>32550</v>
      </c>
      <c r="T33" s="544">
        <v>32950</v>
      </c>
      <c r="U33" s="544">
        <v>33900</v>
      </c>
      <c r="V33" s="680">
        <v>35100</v>
      </c>
      <c r="W33" s="681">
        <v>35100</v>
      </c>
      <c r="X33" s="682">
        <v>35450</v>
      </c>
      <c r="Y33" s="682">
        <v>35900</v>
      </c>
      <c r="Z33" s="682">
        <v>36900</v>
      </c>
      <c r="AA33" s="682">
        <v>38000</v>
      </c>
      <c r="AB33" s="682">
        <v>39000</v>
      </c>
      <c r="AC33" s="683">
        <v>38200</v>
      </c>
      <c r="AD33" s="683">
        <v>37150</v>
      </c>
      <c r="AE33" s="683">
        <v>37950</v>
      </c>
      <c r="AF33" s="683">
        <v>39250</v>
      </c>
      <c r="AG33" s="691">
        <v>39400</v>
      </c>
      <c r="AH33" s="691"/>
    </row>
    <row r="34" spans="2:34" ht="15" x14ac:dyDescent="0.25">
      <c r="B34" s="684" t="s">
        <v>240</v>
      </c>
      <c r="C34" s="679">
        <v>17300</v>
      </c>
      <c r="D34" s="679">
        <v>17800</v>
      </c>
      <c r="E34" s="679">
        <v>18550</v>
      </c>
      <c r="F34" s="679">
        <v>19250</v>
      </c>
      <c r="G34" s="679">
        <v>18150</v>
      </c>
      <c r="H34" s="679">
        <v>18400</v>
      </c>
      <c r="I34" s="679">
        <v>19800</v>
      </c>
      <c r="J34" s="679">
        <v>20700</v>
      </c>
      <c r="K34" s="679">
        <v>20750</v>
      </c>
      <c r="L34" s="544">
        <v>22250</v>
      </c>
      <c r="M34" s="544">
        <v>22900</v>
      </c>
      <c r="N34" s="544">
        <v>22900</v>
      </c>
      <c r="O34" s="544">
        <v>24200</v>
      </c>
      <c r="P34" s="544">
        <v>28150</v>
      </c>
      <c r="Q34" s="544">
        <v>29300</v>
      </c>
      <c r="R34" s="544">
        <v>30550</v>
      </c>
      <c r="S34" s="544">
        <v>30650</v>
      </c>
      <c r="T34" s="544">
        <v>31100</v>
      </c>
      <c r="U34" s="544">
        <v>31900</v>
      </c>
      <c r="V34" s="680">
        <v>33050</v>
      </c>
      <c r="W34" s="681">
        <v>33050</v>
      </c>
      <c r="X34" s="682">
        <v>32250</v>
      </c>
      <c r="Y34" s="682">
        <v>32700</v>
      </c>
      <c r="Z34" s="682">
        <v>34300</v>
      </c>
      <c r="AA34" s="682">
        <v>36000</v>
      </c>
      <c r="AB34" s="682">
        <v>35850</v>
      </c>
      <c r="AC34" s="683">
        <v>34400</v>
      </c>
      <c r="AD34" s="683">
        <v>35400</v>
      </c>
      <c r="AE34" s="683">
        <v>34600</v>
      </c>
      <c r="AF34" s="683">
        <v>35500</v>
      </c>
      <c r="AG34" s="691">
        <v>37700</v>
      </c>
      <c r="AH34" s="691"/>
    </row>
    <row r="35" spans="2:34" ht="15" x14ac:dyDescent="0.25">
      <c r="B35" s="684" t="s">
        <v>241</v>
      </c>
      <c r="C35" s="679">
        <v>17300</v>
      </c>
      <c r="D35" s="679">
        <v>17800</v>
      </c>
      <c r="E35" s="679">
        <v>18550</v>
      </c>
      <c r="F35" s="679">
        <v>19250</v>
      </c>
      <c r="G35" s="679">
        <v>17350</v>
      </c>
      <c r="H35" s="679">
        <v>17350</v>
      </c>
      <c r="I35" s="679">
        <v>18750</v>
      </c>
      <c r="J35" s="679">
        <v>19550</v>
      </c>
      <c r="K35" s="679">
        <v>19550</v>
      </c>
      <c r="L35" s="544">
        <v>20200</v>
      </c>
      <c r="M35" s="544">
        <v>21150</v>
      </c>
      <c r="N35" s="544">
        <v>21850</v>
      </c>
      <c r="O35" s="544">
        <v>23000</v>
      </c>
      <c r="P35" s="544">
        <v>25100</v>
      </c>
      <c r="Q35" s="544">
        <v>25850</v>
      </c>
      <c r="R35" s="544">
        <v>26950</v>
      </c>
      <c r="S35" s="544">
        <v>27150</v>
      </c>
      <c r="T35" s="544">
        <v>28050</v>
      </c>
      <c r="U35" s="544">
        <v>28250</v>
      </c>
      <c r="V35" s="680">
        <v>29200</v>
      </c>
      <c r="W35" s="681">
        <v>29100</v>
      </c>
      <c r="X35" s="682">
        <v>30550</v>
      </c>
      <c r="Y35" s="682">
        <v>32050</v>
      </c>
      <c r="Z35" s="682">
        <v>33650</v>
      </c>
      <c r="AA35" s="682">
        <v>35300</v>
      </c>
      <c r="AB35" s="682">
        <v>37400</v>
      </c>
      <c r="AC35" s="683">
        <v>39000</v>
      </c>
      <c r="AD35" s="683">
        <v>37050</v>
      </c>
      <c r="AE35" s="683">
        <v>38650</v>
      </c>
      <c r="AF35" s="683">
        <v>37650</v>
      </c>
      <c r="AG35" s="691">
        <v>38350</v>
      </c>
      <c r="AH35" s="691"/>
    </row>
    <row r="36" spans="2:34" ht="15" x14ac:dyDescent="0.25">
      <c r="B36" s="684" t="s">
        <v>242</v>
      </c>
      <c r="C36" s="679">
        <v>13600</v>
      </c>
      <c r="D36" s="679">
        <v>13800</v>
      </c>
      <c r="E36" s="679">
        <v>14500</v>
      </c>
      <c r="F36" s="679">
        <v>16200</v>
      </c>
      <c r="G36" s="679">
        <v>16700</v>
      </c>
      <c r="H36" s="679">
        <v>16700</v>
      </c>
      <c r="I36" s="679">
        <v>18150</v>
      </c>
      <c r="J36" s="679">
        <v>19350</v>
      </c>
      <c r="K36" s="679">
        <v>19500</v>
      </c>
      <c r="L36" s="544">
        <v>20200</v>
      </c>
      <c r="M36" s="544">
        <v>21150</v>
      </c>
      <c r="N36" s="544">
        <v>21850</v>
      </c>
      <c r="O36" s="544">
        <v>23000</v>
      </c>
      <c r="P36" s="544">
        <v>25100</v>
      </c>
      <c r="Q36" s="544">
        <v>25850</v>
      </c>
      <c r="R36" s="544">
        <v>26950</v>
      </c>
      <c r="S36" s="544">
        <v>26950</v>
      </c>
      <c r="T36" s="544">
        <v>26950</v>
      </c>
      <c r="U36" s="544">
        <v>26950</v>
      </c>
      <c r="V36" s="680">
        <v>28200</v>
      </c>
      <c r="W36" s="681">
        <v>28200</v>
      </c>
      <c r="X36" s="682">
        <v>29600</v>
      </c>
      <c r="Y36" s="682">
        <v>30500</v>
      </c>
      <c r="Z36" s="682">
        <v>29800</v>
      </c>
      <c r="AA36" s="682">
        <v>28800</v>
      </c>
      <c r="AB36" s="682">
        <v>30350</v>
      </c>
      <c r="AC36" s="683">
        <v>30000</v>
      </c>
      <c r="AD36" s="683">
        <v>31900</v>
      </c>
      <c r="AE36" s="683">
        <v>33650</v>
      </c>
      <c r="AF36" s="683">
        <v>34050</v>
      </c>
      <c r="AG36" s="691">
        <v>35500</v>
      </c>
      <c r="AH36" s="691"/>
    </row>
    <row r="37" spans="2:34" ht="15" x14ac:dyDescent="0.25">
      <c r="B37" s="684" t="s">
        <v>243</v>
      </c>
      <c r="C37" s="679">
        <v>17300</v>
      </c>
      <c r="D37" s="679">
        <v>17800</v>
      </c>
      <c r="E37" s="679">
        <v>18550</v>
      </c>
      <c r="F37" s="679">
        <v>19250</v>
      </c>
      <c r="G37" s="679">
        <v>16700</v>
      </c>
      <c r="H37" s="679">
        <v>16700</v>
      </c>
      <c r="I37" s="679">
        <v>18150</v>
      </c>
      <c r="J37" s="679">
        <v>19350</v>
      </c>
      <c r="K37" s="679">
        <v>19500</v>
      </c>
      <c r="L37" s="544">
        <v>20200</v>
      </c>
      <c r="M37" s="544">
        <v>21150</v>
      </c>
      <c r="N37" s="544">
        <v>21850</v>
      </c>
      <c r="O37" s="544">
        <v>23000</v>
      </c>
      <c r="P37" s="544">
        <v>25100</v>
      </c>
      <c r="Q37" s="544">
        <v>25850</v>
      </c>
      <c r="R37" s="544">
        <v>26950</v>
      </c>
      <c r="S37" s="544">
        <v>26950</v>
      </c>
      <c r="T37" s="544">
        <v>26950</v>
      </c>
      <c r="U37" s="544">
        <v>26950</v>
      </c>
      <c r="V37" s="680">
        <v>28200</v>
      </c>
      <c r="W37" s="681">
        <v>28200</v>
      </c>
      <c r="X37" s="682">
        <v>29600</v>
      </c>
      <c r="Y37" s="682">
        <v>30500</v>
      </c>
      <c r="Z37" s="682">
        <v>29800</v>
      </c>
      <c r="AA37" s="682">
        <v>31250</v>
      </c>
      <c r="AB37" s="682">
        <v>32600</v>
      </c>
      <c r="AC37" s="683">
        <v>31150</v>
      </c>
      <c r="AD37" s="683">
        <v>31900</v>
      </c>
      <c r="AE37" s="683">
        <v>33650</v>
      </c>
      <c r="AF37" s="683">
        <v>34050</v>
      </c>
      <c r="AG37" s="691">
        <v>35500</v>
      </c>
      <c r="AH37" s="691"/>
    </row>
    <row r="38" spans="2:34" ht="15" x14ac:dyDescent="0.25">
      <c r="B38" s="684" t="s">
        <v>244</v>
      </c>
      <c r="C38" s="679">
        <v>20000</v>
      </c>
      <c r="D38" s="679">
        <v>20950</v>
      </c>
      <c r="E38" s="679">
        <v>21600</v>
      </c>
      <c r="F38" s="679">
        <v>23200</v>
      </c>
      <c r="G38" s="679">
        <v>24300</v>
      </c>
      <c r="H38" s="679">
        <v>24300</v>
      </c>
      <c r="I38" s="679">
        <v>26550</v>
      </c>
      <c r="J38" s="679">
        <v>27450</v>
      </c>
      <c r="K38" s="679">
        <v>27850</v>
      </c>
      <c r="L38" s="544">
        <v>29300</v>
      </c>
      <c r="M38" s="544">
        <v>31050</v>
      </c>
      <c r="N38" s="544">
        <v>32200</v>
      </c>
      <c r="O38" s="544">
        <v>34950</v>
      </c>
      <c r="P38" s="544">
        <v>34950</v>
      </c>
      <c r="Q38" s="544">
        <v>34950</v>
      </c>
      <c r="R38" s="544">
        <v>35850</v>
      </c>
      <c r="S38" s="544">
        <v>35850</v>
      </c>
      <c r="T38" s="544">
        <v>35850</v>
      </c>
      <c r="U38" s="544">
        <v>35900</v>
      </c>
      <c r="V38" s="680">
        <v>38000</v>
      </c>
      <c r="W38" s="681">
        <v>37950</v>
      </c>
      <c r="X38" s="682">
        <v>39100</v>
      </c>
      <c r="Y38" s="682">
        <v>39650</v>
      </c>
      <c r="Z38" s="682">
        <v>38900</v>
      </c>
      <c r="AA38" s="682">
        <v>38350</v>
      </c>
      <c r="AB38" s="682">
        <v>39950</v>
      </c>
      <c r="AC38" s="683">
        <v>40050</v>
      </c>
      <c r="AD38" s="683">
        <v>41950</v>
      </c>
      <c r="AE38" s="683">
        <v>44950</v>
      </c>
      <c r="AF38" s="683">
        <v>46400</v>
      </c>
      <c r="AG38" s="691">
        <v>50000</v>
      </c>
      <c r="AH38" s="691"/>
    </row>
    <row r="39" spans="2:34" ht="15" x14ac:dyDescent="0.25">
      <c r="B39" s="684" t="s">
        <v>245</v>
      </c>
      <c r="C39" s="679">
        <v>13600</v>
      </c>
      <c r="D39" s="679">
        <v>13800</v>
      </c>
      <c r="E39" s="679">
        <v>14500</v>
      </c>
      <c r="F39" s="679">
        <v>16200</v>
      </c>
      <c r="G39" s="679">
        <v>16700</v>
      </c>
      <c r="H39" s="679">
        <v>16900</v>
      </c>
      <c r="I39" s="679">
        <v>18500</v>
      </c>
      <c r="J39" s="679">
        <v>19350</v>
      </c>
      <c r="K39" s="679">
        <v>21250</v>
      </c>
      <c r="L39" s="544">
        <v>21250</v>
      </c>
      <c r="M39" s="544">
        <v>21900</v>
      </c>
      <c r="N39" s="544">
        <v>22100</v>
      </c>
      <c r="O39" s="544">
        <v>23000</v>
      </c>
      <c r="P39" s="544">
        <v>25100</v>
      </c>
      <c r="Q39" s="544">
        <v>25850</v>
      </c>
      <c r="R39" s="544">
        <v>26950</v>
      </c>
      <c r="S39" s="544">
        <v>26950</v>
      </c>
      <c r="T39" s="544">
        <v>26950</v>
      </c>
      <c r="U39" s="544">
        <v>26950</v>
      </c>
      <c r="V39" s="680">
        <v>28200</v>
      </c>
      <c r="W39" s="681">
        <v>28200</v>
      </c>
      <c r="X39" s="682">
        <v>29600</v>
      </c>
      <c r="Y39" s="682">
        <v>30500</v>
      </c>
      <c r="Z39" s="682">
        <v>31150</v>
      </c>
      <c r="AA39" s="682">
        <v>30800</v>
      </c>
      <c r="AB39" s="682">
        <v>30350</v>
      </c>
      <c r="AC39" s="683">
        <v>30000</v>
      </c>
      <c r="AD39" s="683">
        <v>31900</v>
      </c>
      <c r="AE39" s="683">
        <v>33650</v>
      </c>
      <c r="AF39" s="683">
        <v>34050</v>
      </c>
      <c r="AG39" s="691">
        <v>35500</v>
      </c>
      <c r="AH39" s="691"/>
    </row>
    <row r="40" spans="2:34" ht="15" x14ac:dyDescent="0.25">
      <c r="B40" s="684" t="s">
        <v>246</v>
      </c>
      <c r="C40" s="679">
        <v>13600</v>
      </c>
      <c r="D40" s="679">
        <v>13800</v>
      </c>
      <c r="E40" s="679">
        <v>14500</v>
      </c>
      <c r="F40" s="679">
        <v>16200</v>
      </c>
      <c r="G40" s="679">
        <v>16700</v>
      </c>
      <c r="H40" s="679">
        <v>16700</v>
      </c>
      <c r="I40" s="679">
        <v>18150</v>
      </c>
      <c r="J40" s="679">
        <v>19350</v>
      </c>
      <c r="K40" s="679">
        <v>19500</v>
      </c>
      <c r="L40" s="544">
        <v>20200</v>
      </c>
      <c r="M40" s="544">
        <v>21150</v>
      </c>
      <c r="N40" s="544">
        <v>21850</v>
      </c>
      <c r="O40" s="544">
        <v>23000</v>
      </c>
      <c r="P40" s="544">
        <v>25100</v>
      </c>
      <c r="Q40" s="544">
        <v>25850</v>
      </c>
      <c r="R40" s="544">
        <v>26950</v>
      </c>
      <c r="S40" s="544">
        <v>26950</v>
      </c>
      <c r="T40" s="544">
        <v>26950</v>
      </c>
      <c r="U40" s="544">
        <v>26950</v>
      </c>
      <c r="V40" s="680">
        <v>28200</v>
      </c>
      <c r="W40" s="681">
        <v>28200</v>
      </c>
      <c r="X40" s="682">
        <v>29600</v>
      </c>
      <c r="Y40" s="682">
        <v>30500</v>
      </c>
      <c r="Z40" s="682">
        <v>29800</v>
      </c>
      <c r="AA40" s="682">
        <v>30850</v>
      </c>
      <c r="AB40" s="682">
        <v>30650</v>
      </c>
      <c r="AC40" s="683">
        <v>30000</v>
      </c>
      <c r="AD40" s="683">
        <v>31900</v>
      </c>
      <c r="AE40" s="683">
        <v>33650</v>
      </c>
      <c r="AF40" s="683">
        <v>34050</v>
      </c>
      <c r="AG40" s="691">
        <v>35500</v>
      </c>
      <c r="AH40" s="691"/>
    </row>
    <row r="41" spans="2:34" ht="15" x14ac:dyDescent="0.25">
      <c r="B41" s="684" t="s">
        <v>247</v>
      </c>
      <c r="C41" s="679">
        <v>15100</v>
      </c>
      <c r="D41" s="679">
        <v>15100</v>
      </c>
      <c r="E41" s="679">
        <v>15600</v>
      </c>
      <c r="F41" s="679">
        <v>16700</v>
      </c>
      <c r="G41" s="679">
        <v>16700</v>
      </c>
      <c r="H41" s="679">
        <v>16700</v>
      </c>
      <c r="I41" s="679">
        <v>18150</v>
      </c>
      <c r="J41" s="679">
        <v>19350</v>
      </c>
      <c r="K41" s="679">
        <v>19500</v>
      </c>
      <c r="L41" s="544">
        <v>20200</v>
      </c>
      <c r="M41" s="544">
        <v>21150</v>
      </c>
      <c r="N41" s="544">
        <v>21850</v>
      </c>
      <c r="O41" s="544">
        <v>23000</v>
      </c>
      <c r="P41" s="544">
        <v>25100</v>
      </c>
      <c r="Q41" s="544">
        <v>25850</v>
      </c>
      <c r="R41" s="544">
        <v>26950</v>
      </c>
      <c r="S41" s="544">
        <v>27150</v>
      </c>
      <c r="T41" s="544">
        <v>28050</v>
      </c>
      <c r="U41" s="544">
        <v>28250</v>
      </c>
      <c r="V41" s="680">
        <v>29200</v>
      </c>
      <c r="W41" s="681">
        <v>29100</v>
      </c>
      <c r="X41" s="682">
        <v>30100</v>
      </c>
      <c r="Y41" s="682">
        <v>30500</v>
      </c>
      <c r="Z41" s="682">
        <v>29800</v>
      </c>
      <c r="AA41" s="682">
        <v>28800</v>
      </c>
      <c r="AB41" s="682">
        <v>30350</v>
      </c>
      <c r="AC41" s="683">
        <v>30000</v>
      </c>
      <c r="AD41" s="683">
        <v>32100</v>
      </c>
      <c r="AE41" s="683">
        <v>33650</v>
      </c>
      <c r="AF41" s="683">
        <v>34050</v>
      </c>
      <c r="AG41" s="691">
        <v>35500</v>
      </c>
      <c r="AH41" s="691"/>
    </row>
    <row r="42" spans="2:34" ht="15" x14ac:dyDescent="0.25">
      <c r="B42" s="684" t="s">
        <v>248</v>
      </c>
      <c r="C42" s="679">
        <v>14450</v>
      </c>
      <c r="D42" s="679">
        <v>14900</v>
      </c>
      <c r="E42" s="679">
        <v>15800</v>
      </c>
      <c r="F42" s="679">
        <v>17750</v>
      </c>
      <c r="G42" s="679">
        <v>18850</v>
      </c>
      <c r="H42" s="679">
        <v>18950</v>
      </c>
      <c r="I42" s="679">
        <v>20650</v>
      </c>
      <c r="J42" s="679">
        <v>22000</v>
      </c>
      <c r="K42" s="679">
        <v>22500</v>
      </c>
      <c r="L42" s="544">
        <v>23350</v>
      </c>
      <c r="M42" s="544">
        <v>24400</v>
      </c>
      <c r="N42" s="544">
        <v>24700</v>
      </c>
      <c r="O42" s="544">
        <v>26000</v>
      </c>
      <c r="P42" s="544">
        <v>27150</v>
      </c>
      <c r="Q42" s="544">
        <v>28350</v>
      </c>
      <c r="R42" s="544">
        <v>29700</v>
      </c>
      <c r="S42" s="544">
        <v>29700</v>
      </c>
      <c r="T42" s="544">
        <v>30300</v>
      </c>
      <c r="U42" s="544">
        <v>31200</v>
      </c>
      <c r="V42" s="680">
        <v>33100</v>
      </c>
      <c r="W42" s="681">
        <v>33700</v>
      </c>
      <c r="X42" s="682">
        <v>35350</v>
      </c>
      <c r="Y42" s="682">
        <v>37050</v>
      </c>
      <c r="Z42" s="682">
        <v>36700</v>
      </c>
      <c r="AA42" s="682">
        <v>36450</v>
      </c>
      <c r="AB42" s="682">
        <v>37200</v>
      </c>
      <c r="AC42" s="683">
        <v>35350</v>
      </c>
      <c r="AD42" s="683">
        <v>36650</v>
      </c>
      <c r="AE42" s="683">
        <v>39250</v>
      </c>
      <c r="AF42" s="683">
        <v>41300</v>
      </c>
      <c r="AG42" s="691">
        <v>41800</v>
      </c>
      <c r="AH42" s="691"/>
    </row>
    <row r="43" spans="2:34" ht="15" x14ac:dyDescent="0.25">
      <c r="B43" s="684" t="s">
        <v>249</v>
      </c>
      <c r="C43" s="679">
        <v>17750</v>
      </c>
      <c r="D43" s="679">
        <v>18750</v>
      </c>
      <c r="E43" s="679">
        <v>19450</v>
      </c>
      <c r="F43" s="679">
        <v>21300</v>
      </c>
      <c r="G43" s="679">
        <v>22100</v>
      </c>
      <c r="H43" s="679">
        <v>22100</v>
      </c>
      <c r="I43" s="679">
        <v>23900</v>
      </c>
      <c r="J43" s="679">
        <v>25300</v>
      </c>
      <c r="K43" s="679">
        <v>25450</v>
      </c>
      <c r="L43" s="544">
        <v>26650</v>
      </c>
      <c r="M43" s="544">
        <v>28150</v>
      </c>
      <c r="N43" s="544">
        <v>29100</v>
      </c>
      <c r="O43" s="544">
        <v>30400</v>
      </c>
      <c r="P43" s="544">
        <v>32400</v>
      </c>
      <c r="Q43" s="544">
        <v>33250</v>
      </c>
      <c r="R43" s="544">
        <v>34600</v>
      </c>
      <c r="S43" s="544">
        <v>34600</v>
      </c>
      <c r="T43" s="544">
        <v>34600</v>
      </c>
      <c r="U43" s="544">
        <v>37500</v>
      </c>
      <c r="V43" s="680">
        <v>37600</v>
      </c>
      <c r="W43" s="681">
        <v>37450</v>
      </c>
      <c r="X43" s="682">
        <v>38350</v>
      </c>
      <c r="Y43" s="682">
        <v>38850</v>
      </c>
      <c r="Z43" s="682">
        <v>37900</v>
      </c>
      <c r="AA43" s="682">
        <v>36750</v>
      </c>
      <c r="AB43" s="682">
        <v>38900</v>
      </c>
      <c r="AC43" s="683">
        <v>39100</v>
      </c>
      <c r="AD43" s="683">
        <v>38400</v>
      </c>
      <c r="AE43" s="683">
        <v>42550</v>
      </c>
      <c r="AF43" s="683">
        <v>43600</v>
      </c>
      <c r="AG43" s="691">
        <v>47050</v>
      </c>
      <c r="AH43" s="691"/>
    </row>
    <row r="44" spans="2:34" ht="15" x14ac:dyDescent="0.25">
      <c r="B44" s="684" t="s">
        <v>250</v>
      </c>
      <c r="C44" s="679">
        <v>13600</v>
      </c>
      <c r="D44" s="679">
        <v>13800</v>
      </c>
      <c r="E44" s="679">
        <v>14500</v>
      </c>
      <c r="F44" s="679">
        <v>16200</v>
      </c>
      <c r="G44" s="679">
        <v>16700</v>
      </c>
      <c r="H44" s="679">
        <v>16700</v>
      </c>
      <c r="I44" s="679">
        <v>18150</v>
      </c>
      <c r="J44" s="679">
        <v>19350</v>
      </c>
      <c r="K44" s="679">
        <v>19500</v>
      </c>
      <c r="L44" s="544">
        <v>20200</v>
      </c>
      <c r="M44" s="544">
        <v>21150</v>
      </c>
      <c r="N44" s="544">
        <v>21850</v>
      </c>
      <c r="O44" s="544">
        <v>23000</v>
      </c>
      <c r="P44" s="544">
        <v>25100</v>
      </c>
      <c r="Q44" s="544">
        <v>25850</v>
      </c>
      <c r="R44" s="544">
        <v>26950</v>
      </c>
      <c r="S44" s="544">
        <v>26950</v>
      </c>
      <c r="T44" s="544">
        <v>26950</v>
      </c>
      <c r="U44" s="544">
        <v>26950</v>
      </c>
      <c r="V44" s="680">
        <v>28200</v>
      </c>
      <c r="W44" s="681">
        <v>28200</v>
      </c>
      <c r="X44" s="682">
        <v>29600</v>
      </c>
      <c r="Y44" s="682">
        <v>30500</v>
      </c>
      <c r="Z44" s="682">
        <v>29800</v>
      </c>
      <c r="AA44" s="682">
        <v>28800</v>
      </c>
      <c r="AB44" s="682">
        <v>30350</v>
      </c>
      <c r="AC44" s="683">
        <v>30000</v>
      </c>
      <c r="AD44" s="683">
        <v>31900</v>
      </c>
      <c r="AE44" s="683">
        <v>33650</v>
      </c>
      <c r="AF44" s="683">
        <v>34050</v>
      </c>
      <c r="AG44" s="691">
        <v>35500</v>
      </c>
      <c r="AH44" s="691"/>
    </row>
    <row r="45" spans="2:34" ht="15" x14ac:dyDescent="0.25">
      <c r="B45" s="684" t="s">
        <v>251</v>
      </c>
      <c r="C45" s="679">
        <v>13600</v>
      </c>
      <c r="D45" s="679">
        <v>13800</v>
      </c>
      <c r="E45" s="679">
        <v>14500</v>
      </c>
      <c r="F45" s="679">
        <v>16200</v>
      </c>
      <c r="G45" s="679">
        <v>16700</v>
      </c>
      <c r="H45" s="679">
        <v>16700</v>
      </c>
      <c r="I45" s="679">
        <v>18150</v>
      </c>
      <c r="J45" s="679">
        <v>19350</v>
      </c>
      <c r="K45" s="679">
        <v>19500</v>
      </c>
      <c r="L45" s="544">
        <v>20200</v>
      </c>
      <c r="M45" s="544">
        <v>21150</v>
      </c>
      <c r="N45" s="544">
        <v>21850</v>
      </c>
      <c r="O45" s="544">
        <v>23000</v>
      </c>
      <c r="P45" s="544">
        <v>25100</v>
      </c>
      <c r="Q45" s="544">
        <v>25850</v>
      </c>
      <c r="R45" s="544">
        <v>26950</v>
      </c>
      <c r="S45" s="544">
        <v>26950</v>
      </c>
      <c r="T45" s="544">
        <v>26950</v>
      </c>
      <c r="U45" s="544">
        <v>26950</v>
      </c>
      <c r="V45" s="680">
        <v>28200</v>
      </c>
      <c r="W45" s="681">
        <v>28200</v>
      </c>
      <c r="X45" s="682">
        <v>29600</v>
      </c>
      <c r="Y45" s="682">
        <v>30500</v>
      </c>
      <c r="Z45" s="682">
        <v>29800</v>
      </c>
      <c r="AA45" s="682">
        <v>30150</v>
      </c>
      <c r="AB45" s="682">
        <v>30450</v>
      </c>
      <c r="AC45" s="683">
        <v>30000</v>
      </c>
      <c r="AD45" s="683">
        <v>31900</v>
      </c>
      <c r="AE45" s="683">
        <v>33650</v>
      </c>
      <c r="AF45" s="683">
        <v>34050</v>
      </c>
      <c r="AG45" s="691">
        <v>35500</v>
      </c>
      <c r="AH45" s="691"/>
    </row>
    <row r="46" spans="2:34" ht="15" x14ac:dyDescent="0.25">
      <c r="B46" s="684" t="s">
        <v>252</v>
      </c>
      <c r="C46" s="679">
        <v>13750</v>
      </c>
      <c r="D46" s="679">
        <v>13900</v>
      </c>
      <c r="E46" s="679">
        <v>14500</v>
      </c>
      <c r="F46" s="679">
        <v>16200</v>
      </c>
      <c r="G46" s="679">
        <v>16700</v>
      </c>
      <c r="H46" s="679">
        <v>16700</v>
      </c>
      <c r="I46" s="679">
        <v>18150</v>
      </c>
      <c r="J46" s="679">
        <v>19350</v>
      </c>
      <c r="K46" s="679">
        <v>19500</v>
      </c>
      <c r="L46" s="544">
        <v>20200</v>
      </c>
      <c r="M46" s="544">
        <v>21150</v>
      </c>
      <c r="N46" s="544">
        <v>21850</v>
      </c>
      <c r="O46" s="544">
        <v>23000</v>
      </c>
      <c r="P46" s="544">
        <v>25100</v>
      </c>
      <c r="Q46" s="544">
        <v>25850</v>
      </c>
      <c r="R46" s="544">
        <v>26950</v>
      </c>
      <c r="S46" s="544">
        <v>26950</v>
      </c>
      <c r="T46" s="544">
        <v>26950</v>
      </c>
      <c r="U46" s="544">
        <v>26950</v>
      </c>
      <c r="V46" s="680">
        <v>28200</v>
      </c>
      <c r="W46" s="681">
        <v>28200</v>
      </c>
      <c r="X46" s="682">
        <v>29600</v>
      </c>
      <c r="Y46" s="682">
        <v>30500</v>
      </c>
      <c r="Z46" s="682">
        <v>29800</v>
      </c>
      <c r="AA46" s="682">
        <v>28800</v>
      </c>
      <c r="AB46" s="682">
        <v>30350</v>
      </c>
      <c r="AC46" s="683">
        <v>30000</v>
      </c>
      <c r="AD46" s="683">
        <v>31900</v>
      </c>
      <c r="AE46" s="683">
        <v>33650</v>
      </c>
      <c r="AF46" s="683">
        <v>34050</v>
      </c>
      <c r="AG46" s="691">
        <v>35500</v>
      </c>
      <c r="AH46" s="691"/>
    </row>
    <row r="47" spans="2:34" ht="15" x14ac:dyDescent="0.25">
      <c r="B47" s="684" t="s">
        <v>253</v>
      </c>
      <c r="C47" s="679">
        <v>16500</v>
      </c>
      <c r="D47" s="679">
        <v>17000</v>
      </c>
      <c r="E47" s="679">
        <v>17750</v>
      </c>
      <c r="F47" s="679">
        <v>18400</v>
      </c>
      <c r="G47" s="679">
        <v>16700</v>
      </c>
      <c r="H47" s="679">
        <v>16700</v>
      </c>
      <c r="I47" s="679">
        <v>18300</v>
      </c>
      <c r="J47" s="679">
        <v>19350</v>
      </c>
      <c r="K47" s="679">
        <v>19500</v>
      </c>
      <c r="L47" s="544">
        <v>20200</v>
      </c>
      <c r="M47" s="544">
        <v>21150</v>
      </c>
      <c r="N47" s="544">
        <v>21850</v>
      </c>
      <c r="O47" s="544">
        <v>23000</v>
      </c>
      <c r="P47" s="544">
        <v>25100</v>
      </c>
      <c r="Q47" s="544">
        <v>25850</v>
      </c>
      <c r="R47" s="544">
        <v>26950</v>
      </c>
      <c r="S47" s="544">
        <v>26950</v>
      </c>
      <c r="T47" s="544">
        <v>26950</v>
      </c>
      <c r="U47" s="544">
        <v>27500</v>
      </c>
      <c r="V47" s="680">
        <v>28600</v>
      </c>
      <c r="W47" s="681">
        <v>30000</v>
      </c>
      <c r="X47" s="682">
        <v>31500</v>
      </c>
      <c r="Y47" s="682">
        <v>32600</v>
      </c>
      <c r="Z47" s="682">
        <v>31000</v>
      </c>
      <c r="AA47" s="682">
        <v>30900</v>
      </c>
      <c r="AB47" s="682">
        <v>30350</v>
      </c>
      <c r="AC47" s="683">
        <v>30000</v>
      </c>
      <c r="AD47" s="683">
        <v>32100</v>
      </c>
      <c r="AE47" s="683">
        <v>33650</v>
      </c>
      <c r="AF47" s="683">
        <v>34850</v>
      </c>
      <c r="AG47" s="691">
        <v>35500</v>
      </c>
      <c r="AH47" s="691"/>
    </row>
    <row r="48" spans="2:34" ht="15" x14ac:dyDescent="0.25">
      <c r="B48" s="684" t="s">
        <v>254</v>
      </c>
      <c r="C48" s="679">
        <v>14650</v>
      </c>
      <c r="D48" s="679">
        <v>14850</v>
      </c>
      <c r="E48" s="679">
        <v>16050</v>
      </c>
      <c r="F48" s="679">
        <v>16200</v>
      </c>
      <c r="G48" s="679">
        <v>16700</v>
      </c>
      <c r="H48" s="679">
        <v>16700</v>
      </c>
      <c r="I48" s="679">
        <v>18150</v>
      </c>
      <c r="J48" s="679">
        <v>19350</v>
      </c>
      <c r="K48" s="679">
        <v>19500</v>
      </c>
      <c r="L48" s="544">
        <v>20200</v>
      </c>
      <c r="M48" s="544">
        <v>21150</v>
      </c>
      <c r="N48" s="544">
        <v>21850</v>
      </c>
      <c r="O48" s="544">
        <v>23000</v>
      </c>
      <c r="P48" s="544">
        <v>25100</v>
      </c>
      <c r="Q48" s="544">
        <v>25850</v>
      </c>
      <c r="R48" s="544">
        <v>26950</v>
      </c>
      <c r="S48" s="544">
        <v>27150</v>
      </c>
      <c r="T48" s="544">
        <v>28050</v>
      </c>
      <c r="U48" s="544">
        <v>28250</v>
      </c>
      <c r="V48" s="680">
        <v>29200</v>
      </c>
      <c r="W48" s="681">
        <v>29100</v>
      </c>
      <c r="X48" s="682">
        <v>30550</v>
      </c>
      <c r="Y48" s="682">
        <v>32050</v>
      </c>
      <c r="Z48" s="682">
        <v>33650</v>
      </c>
      <c r="AA48" s="682">
        <v>34300</v>
      </c>
      <c r="AB48" s="682">
        <v>35300</v>
      </c>
      <c r="AC48" s="683">
        <v>35100</v>
      </c>
      <c r="AD48" s="683">
        <v>36450</v>
      </c>
      <c r="AE48" s="683">
        <v>36850</v>
      </c>
      <c r="AF48" s="683">
        <v>36850</v>
      </c>
      <c r="AG48" s="691">
        <v>37750</v>
      </c>
      <c r="AH48" s="691"/>
    </row>
    <row r="49" spans="2:34" ht="15" x14ac:dyDescent="0.25">
      <c r="B49" s="684" t="s">
        <v>255</v>
      </c>
      <c r="C49" s="679">
        <v>18050</v>
      </c>
      <c r="D49" s="679">
        <v>18050</v>
      </c>
      <c r="E49" s="679">
        <v>19300</v>
      </c>
      <c r="F49" s="679">
        <v>20500</v>
      </c>
      <c r="G49" s="679">
        <v>16850</v>
      </c>
      <c r="H49" s="679">
        <v>17100</v>
      </c>
      <c r="I49" s="679">
        <v>21400</v>
      </c>
      <c r="J49" s="679">
        <v>22750</v>
      </c>
      <c r="K49" s="679">
        <v>22750</v>
      </c>
      <c r="L49" s="544">
        <v>22750</v>
      </c>
      <c r="M49" s="544">
        <v>22750</v>
      </c>
      <c r="N49" s="544">
        <v>22850</v>
      </c>
      <c r="O49" s="544">
        <v>23650</v>
      </c>
      <c r="P49" s="544">
        <v>25100</v>
      </c>
      <c r="Q49" s="544">
        <v>25850</v>
      </c>
      <c r="R49" s="544">
        <v>26950</v>
      </c>
      <c r="S49" s="544">
        <v>26950</v>
      </c>
      <c r="T49" s="544">
        <v>26950</v>
      </c>
      <c r="U49" s="544">
        <v>27650</v>
      </c>
      <c r="V49" s="680">
        <v>28950</v>
      </c>
      <c r="W49" s="681">
        <v>28950</v>
      </c>
      <c r="X49" s="682">
        <v>30350</v>
      </c>
      <c r="Y49" s="682">
        <v>31850</v>
      </c>
      <c r="Z49" s="682">
        <v>33000</v>
      </c>
      <c r="AA49" s="682">
        <v>33100</v>
      </c>
      <c r="AB49" s="682">
        <v>33850</v>
      </c>
      <c r="AC49" s="683">
        <v>35300</v>
      </c>
      <c r="AD49" s="683">
        <v>34500</v>
      </c>
      <c r="AE49" s="683">
        <v>35350</v>
      </c>
      <c r="AF49" s="683">
        <v>36750</v>
      </c>
      <c r="AG49" s="691">
        <v>36350</v>
      </c>
      <c r="AH49" s="691"/>
    </row>
    <row r="50" spans="2:34" ht="15" x14ac:dyDescent="0.25">
      <c r="B50" s="684" t="s">
        <v>256</v>
      </c>
      <c r="C50" s="679">
        <v>13600</v>
      </c>
      <c r="D50" s="679">
        <v>13800</v>
      </c>
      <c r="E50" s="679">
        <v>14600</v>
      </c>
      <c r="F50" s="679">
        <v>16200</v>
      </c>
      <c r="G50" s="679">
        <v>16700</v>
      </c>
      <c r="H50" s="679">
        <v>16700</v>
      </c>
      <c r="I50" s="679">
        <v>18150</v>
      </c>
      <c r="J50" s="679">
        <v>19350</v>
      </c>
      <c r="K50" s="679">
        <v>19500</v>
      </c>
      <c r="L50" s="544">
        <v>20200</v>
      </c>
      <c r="M50" s="544">
        <v>21150</v>
      </c>
      <c r="N50" s="544">
        <v>21850</v>
      </c>
      <c r="O50" s="544">
        <v>23000</v>
      </c>
      <c r="P50" s="544">
        <v>25100</v>
      </c>
      <c r="Q50" s="544">
        <v>25850</v>
      </c>
      <c r="R50" s="544">
        <v>26950</v>
      </c>
      <c r="S50" s="544">
        <v>26950</v>
      </c>
      <c r="T50" s="544">
        <v>26950</v>
      </c>
      <c r="U50" s="544">
        <v>26950</v>
      </c>
      <c r="V50" s="680">
        <v>28200</v>
      </c>
      <c r="W50" s="681">
        <v>28200</v>
      </c>
      <c r="X50" s="682">
        <v>29600</v>
      </c>
      <c r="Y50" s="682">
        <v>30500</v>
      </c>
      <c r="Z50" s="682">
        <v>29800</v>
      </c>
      <c r="AA50" s="682">
        <v>28800</v>
      </c>
      <c r="AB50" s="682">
        <v>30350</v>
      </c>
      <c r="AC50" s="683">
        <v>30000</v>
      </c>
      <c r="AD50" s="683">
        <v>31900</v>
      </c>
      <c r="AE50" s="683">
        <v>33650</v>
      </c>
      <c r="AF50" s="683">
        <v>34050</v>
      </c>
      <c r="AG50" s="691">
        <v>35500</v>
      </c>
      <c r="AH50" s="691"/>
    </row>
    <row r="51" spans="2:34" ht="15" x14ac:dyDescent="0.25">
      <c r="B51" s="684" t="s">
        <v>257</v>
      </c>
      <c r="C51" s="679">
        <v>17300</v>
      </c>
      <c r="D51" s="679">
        <v>17800</v>
      </c>
      <c r="E51" s="679">
        <v>18550</v>
      </c>
      <c r="F51" s="679">
        <v>19250</v>
      </c>
      <c r="G51" s="679">
        <v>16700</v>
      </c>
      <c r="H51" s="679">
        <v>16700</v>
      </c>
      <c r="I51" s="679">
        <v>18150</v>
      </c>
      <c r="J51" s="679">
        <v>19350</v>
      </c>
      <c r="K51" s="679">
        <v>19500</v>
      </c>
      <c r="L51" s="544">
        <v>20200</v>
      </c>
      <c r="M51" s="544">
        <v>21150</v>
      </c>
      <c r="N51" s="544">
        <v>21850</v>
      </c>
      <c r="O51" s="544">
        <v>23000</v>
      </c>
      <c r="P51" s="544">
        <v>25100</v>
      </c>
      <c r="Q51" s="544">
        <v>25850</v>
      </c>
      <c r="R51" s="544">
        <v>26950</v>
      </c>
      <c r="S51" s="544">
        <v>26950</v>
      </c>
      <c r="T51" s="544">
        <v>26950</v>
      </c>
      <c r="U51" s="544">
        <v>26950</v>
      </c>
      <c r="V51" s="680">
        <v>28200</v>
      </c>
      <c r="W51" s="681">
        <v>28200</v>
      </c>
      <c r="X51" s="682">
        <v>29600</v>
      </c>
      <c r="Y51" s="682">
        <v>30500</v>
      </c>
      <c r="Z51" s="682">
        <v>29800</v>
      </c>
      <c r="AA51" s="682">
        <v>28800</v>
      </c>
      <c r="AB51" s="682">
        <v>30350</v>
      </c>
      <c r="AC51" s="683">
        <v>30000</v>
      </c>
      <c r="AD51" s="683">
        <v>31900</v>
      </c>
      <c r="AE51" s="683">
        <v>33650</v>
      </c>
      <c r="AF51" s="683">
        <v>34050</v>
      </c>
      <c r="AG51" s="691">
        <v>35500</v>
      </c>
      <c r="AH51" s="691"/>
    </row>
    <row r="52" spans="2:34" ht="15" x14ac:dyDescent="0.25">
      <c r="B52" s="684" t="s">
        <v>258</v>
      </c>
      <c r="C52" s="679">
        <v>13600</v>
      </c>
      <c r="D52" s="679">
        <v>13800</v>
      </c>
      <c r="E52" s="679">
        <v>14500</v>
      </c>
      <c r="F52" s="679">
        <v>16200</v>
      </c>
      <c r="G52" s="679">
        <v>16900</v>
      </c>
      <c r="H52" s="679">
        <v>17000</v>
      </c>
      <c r="I52" s="679">
        <v>18550</v>
      </c>
      <c r="J52" s="679">
        <v>19850</v>
      </c>
      <c r="K52" s="679">
        <v>20350</v>
      </c>
      <c r="L52" s="544">
        <v>21150</v>
      </c>
      <c r="M52" s="544">
        <v>21650</v>
      </c>
      <c r="N52" s="544">
        <v>22100</v>
      </c>
      <c r="O52" s="544">
        <v>23450</v>
      </c>
      <c r="P52" s="544">
        <v>25100</v>
      </c>
      <c r="Q52" s="544">
        <v>25850</v>
      </c>
      <c r="R52" s="544">
        <v>26950</v>
      </c>
      <c r="S52" s="544">
        <v>26950</v>
      </c>
      <c r="T52" s="544">
        <v>26950</v>
      </c>
      <c r="U52" s="544">
        <v>26950</v>
      </c>
      <c r="V52" s="680">
        <v>28200</v>
      </c>
      <c r="W52" s="681">
        <v>28200</v>
      </c>
      <c r="X52" s="682">
        <v>29600</v>
      </c>
      <c r="Y52" s="682">
        <v>30500</v>
      </c>
      <c r="Z52" s="682">
        <v>29800</v>
      </c>
      <c r="AA52" s="682">
        <v>28800</v>
      </c>
      <c r="AB52" s="682">
        <v>30350</v>
      </c>
      <c r="AC52" s="683">
        <v>30000</v>
      </c>
      <c r="AD52" s="683">
        <v>31900</v>
      </c>
      <c r="AE52" s="683">
        <v>33650</v>
      </c>
      <c r="AF52" s="683">
        <v>34050</v>
      </c>
      <c r="AG52" s="691">
        <v>35500</v>
      </c>
      <c r="AH52" s="691"/>
    </row>
    <row r="53" spans="2:34" ht="15" x14ac:dyDescent="0.25">
      <c r="B53" s="684" t="s">
        <v>259</v>
      </c>
      <c r="C53" s="679">
        <v>13600</v>
      </c>
      <c r="D53" s="679">
        <v>13800</v>
      </c>
      <c r="E53" s="679">
        <v>14500</v>
      </c>
      <c r="F53" s="679">
        <v>16200</v>
      </c>
      <c r="G53" s="679">
        <v>16700</v>
      </c>
      <c r="H53" s="679">
        <v>16700</v>
      </c>
      <c r="I53" s="679">
        <v>18150</v>
      </c>
      <c r="J53" s="679">
        <v>19350</v>
      </c>
      <c r="K53" s="679">
        <v>19500</v>
      </c>
      <c r="L53" s="544">
        <v>20200</v>
      </c>
      <c r="M53" s="544">
        <v>21150</v>
      </c>
      <c r="N53" s="544">
        <v>21850</v>
      </c>
      <c r="O53" s="544">
        <v>23000</v>
      </c>
      <c r="P53" s="544">
        <v>25100</v>
      </c>
      <c r="Q53" s="544">
        <v>25850</v>
      </c>
      <c r="R53" s="544">
        <v>26950</v>
      </c>
      <c r="S53" s="544">
        <v>26950</v>
      </c>
      <c r="T53" s="544">
        <v>26950</v>
      </c>
      <c r="U53" s="544">
        <v>26950</v>
      </c>
      <c r="V53" s="680">
        <v>28200</v>
      </c>
      <c r="W53" s="681">
        <v>28200</v>
      </c>
      <c r="X53" s="682">
        <v>29600</v>
      </c>
      <c r="Y53" s="682">
        <v>30500</v>
      </c>
      <c r="Z53" s="682">
        <v>29800</v>
      </c>
      <c r="AA53" s="682">
        <v>28800</v>
      </c>
      <c r="AB53" s="682">
        <v>30350</v>
      </c>
      <c r="AC53" s="683">
        <v>30000</v>
      </c>
      <c r="AD53" s="683">
        <v>31900</v>
      </c>
      <c r="AE53" s="683">
        <v>33650</v>
      </c>
      <c r="AF53" s="683">
        <v>34050</v>
      </c>
      <c r="AG53" s="691">
        <v>35500</v>
      </c>
      <c r="AH53" s="691"/>
    </row>
    <row r="54" spans="2:34" ht="15" x14ac:dyDescent="0.25">
      <c r="B54" s="684" t="s">
        <v>260</v>
      </c>
      <c r="C54" s="679">
        <v>17300</v>
      </c>
      <c r="D54" s="679">
        <v>17800</v>
      </c>
      <c r="E54" s="679">
        <v>18550</v>
      </c>
      <c r="F54" s="679">
        <v>19250</v>
      </c>
      <c r="G54" s="679">
        <v>17650</v>
      </c>
      <c r="H54" s="679">
        <v>17650</v>
      </c>
      <c r="I54" s="679">
        <v>18650</v>
      </c>
      <c r="J54" s="679">
        <v>20500</v>
      </c>
      <c r="K54" s="679">
        <v>21950</v>
      </c>
      <c r="L54" s="544">
        <v>22550</v>
      </c>
      <c r="M54" s="544">
        <v>23050</v>
      </c>
      <c r="N54" s="544">
        <v>23650</v>
      </c>
      <c r="O54" s="544">
        <v>24700</v>
      </c>
      <c r="P54" s="544">
        <v>26850</v>
      </c>
      <c r="Q54" s="544">
        <v>29100</v>
      </c>
      <c r="R54" s="544">
        <v>29750</v>
      </c>
      <c r="S54" s="544">
        <v>30150</v>
      </c>
      <c r="T54" s="544">
        <v>30150</v>
      </c>
      <c r="U54" s="544">
        <v>30700</v>
      </c>
      <c r="V54" s="680">
        <v>31650</v>
      </c>
      <c r="W54" s="681">
        <v>31650</v>
      </c>
      <c r="X54" s="682">
        <v>33200</v>
      </c>
      <c r="Y54" s="682">
        <v>34150</v>
      </c>
      <c r="Z54" s="682">
        <v>34950</v>
      </c>
      <c r="AA54" s="682">
        <v>35800</v>
      </c>
      <c r="AB54" s="682">
        <v>37600</v>
      </c>
      <c r="AC54" s="683">
        <v>37050</v>
      </c>
      <c r="AD54" s="683">
        <v>36650</v>
      </c>
      <c r="AE54" s="683">
        <v>39650</v>
      </c>
      <c r="AF54" s="683">
        <v>39300</v>
      </c>
      <c r="AG54" s="691">
        <v>38150</v>
      </c>
      <c r="AH54" s="691"/>
    </row>
    <row r="55" spans="2:34" ht="15" x14ac:dyDescent="0.25">
      <c r="B55" s="684" t="s">
        <v>261</v>
      </c>
      <c r="C55" s="679">
        <v>14500</v>
      </c>
      <c r="D55" s="679">
        <v>14950</v>
      </c>
      <c r="E55" s="679">
        <v>15600</v>
      </c>
      <c r="F55" s="679">
        <v>20450</v>
      </c>
      <c r="G55" s="679">
        <v>20450</v>
      </c>
      <c r="H55" s="679">
        <v>20450</v>
      </c>
      <c r="I55" s="679">
        <v>20450</v>
      </c>
      <c r="J55" s="679">
        <v>20800</v>
      </c>
      <c r="K55" s="679">
        <v>21050</v>
      </c>
      <c r="L55" s="544">
        <v>21750</v>
      </c>
      <c r="M55" s="544">
        <v>22950</v>
      </c>
      <c r="N55" s="544">
        <v>24250</v>
      </c>
      <c r="O55" s="544">
        <v>26650</v>
      </c>
      <c r="P55" s="544">
        <v>30700</v>
      </c>
      <c r="Q55" s="544">
        <v>32200</v>
      </c>
      <c r="R55" s="544">
        <v>33550</v>
      </c>
      <c r="S55" s="544">
        <v>35850</v>
      </c>
      <c r="T55" s="544">
        <v>35850</v>
      </c>
      <c r="U55" s="544">
        <v>35900</v>
      </c>
      <c r="V55" s="680">
        <v>38000</v>
      </c>
      <c r="W55" s="681">
        <v>37950</v>
      </c>
      <c r="X55" s="682">
        <v>39100</v>
      </c>
      <c r="Y55" s="682">
        <v>39650</v>
      </c>
      <c r="Z55" s="682">
        <v>38900</v>
      </c>
      <c r="AA55" s="682">
        <v>38350</v>
      </c>
      <c r="AB55" s="682">
        <v>39950</v>
      </c>
      <c r="AC55" s="683">
        <v>40050</v>
      </c>
      <c r="AD55" s="683">
        <v>41950</v>
      </c>
      <c r="AE55" s="683">
        <v>44950</v>
      </c>
      <c r="AF55" s="683">
        <v>46400</v>
      </c>
      <c r="AG55" s="691">
        <v>50000</v>
      </c>
      <c r="AH55" s="691"/>
    </row>
    <row r="56" spans="2:34" ht="15" x14ac:dyDescent="0.25">
      <c r="B56" s="684" t="s">
        <v>262</v>
      </c>
      <c r="C56" s="679">
        <v>13600</v>
      </c>
      <c r="D56" s="679">
        <v>13800</v>
      </c>
      <c r="E56" s="679">
        <v>14500</v>
      </c>
      <c r="F56" s="679">
        <v>16200</v>
      </c>
      <c r="G56" s="679">
        <v>16700</v>
      </c>
      <c r="H56" s="679">
        <v>16700</v>
      </c>
      <c r="I56" s="679">
        <v>18150</v>
      </c>
      <c r="J56" s="679">
        <v>19350</v>
      </c>
      <c r="K56" s="679">
        <v>19500</v>
      </c>
      <c r="L56" s="544">
        <v>20200</v>
      </c>
      <c r="M56" s="544">
        <v>21150</v>
      </c>
      <c r="N56" s="544">
        <v>21850</v>
      </c>
      <c r="O56" s="544">
        <v>23000</v>
      </c>
      <c r="P56" s="544">
        <v>25100</v>
      </c>
      <c r="Q56" s="544">
        <v>25850</v>
      </c>
      <c r="R56" s="544">
        <v>26950</v>
      </c>
      <c r="S56" s="544">
        <v>26950</v>
      </c>
      <c r="T56" s="544">
        <v>26950</v>
      </c>
      <c r="U56" s="544">
        <v>26950</v>
      </c>
      <c r="V56" s="680">
        <v>28200</v>
      </c>
      <c r="W56" s="681">
        <v>28200</v>
      </c>
      <c r="X56" s="682">
        <v>29600</v>
      </c>
      <c r="Y56" s="682">
        <v>30500</v>
      </c>
      <c r="Z56" s="682">
        <v>29800</v>
      </c>
      <c r="AA56" s="682">
        <v>28800</v>
      </c>
      <c r="AB56" s="682">
        <v>30500</v>
      </c>
      <c r="AC56" s="683">
        <v>30000</v>
      </c>
      <c r="AD56" s="683">
        <v>31900</v>
      </c>
      <c r="AE56" s="683">
        <v>33650</v>
      </c>
      <c r="AF56" s="683">
        <v>34050</v>
      </c>
      <c r="AG56" s="691">
        <v>35500</v>
      </c>
      <c r="AH56" s="691"/>
    </row>
    <row r="57" spans="2:34" ht="15" x14ac:dyDescent="0.25">
      <c r="B57" s="684" t="s">
        <v>263</v>
      </c>
      <c r="C57" s="679">
        <v>20100</v>
      </c>
      <c r="D57" s="679">
        <v>20800</v>
      </c>
      <c r="E57" s="679">
        <v>22350</v>
      </c>
      <c r="F57" s="679">
        <v>30600</v>
      </c>
      <c r="G57" s="679">
        <v>31250</v>
      </c>
      <c r="H57" s="679">
        <v>32850</v>
      </c>
      <c r="I57" s="679">
        <v>34200</v>
      </c>
      <c r="J57" s="679">
        <v>36650</v>
      </c>
      <c r="K57" s="679">
        <v>36650</v>
      </c>
      <c r="L57" s="544">
        <v>38200</v>
      </c>
      <c r="M57" s="544">
        <v>39800</v>
      </c>
      <c r="N57" s="544">
        <v>41300</v>
      </c>
      <c r="O57" s="544">
        <v>43900</v>
      </c>
      <c r="P57" s="544">
        <v>45300</v>
      </c>
      <c r="Q57" s="544">
        <v>46000</v>
      </c>
      <c r="R57" s="544">
        <v>48800</v>
      </c>
      <c r="S57" s="544">
        <v>48800</v>
      </c>
      <c r="T57" s="544">
        <v>48800</v>
      </c>
      <c r="U57" s="544">
        <v>48800</v>
      </c>
      <c r="V57" s="680">
        <v>48800</v>
      </c>
      <c r="W57" s="681">
        <v>47700</v>
      </c>
      <c r="X57" s="682">
        <v>50050</v>
      </c>
      <c r="Y57" s="682">
        <v>52000</v>
      </c>
      <c r="Z57" s="682">
        <v>52900</v>
      </c>
      <c r="AA57" s="682">
        <v>51300</v>
      </c>
      <c r="AB57" s="682">
        <v>48750</v>
      </c>
      <c r="AC57" s="683">
        <v>48450</v>
      </c>
      <c r="AD57" s="683">
        <v>49000</v>
      </c>
      <c r="AE57" s="683">
        <v>53950</v>
      </c>
      <c r="AF57" s="683">
        <v>51700</v>
      </c>
      <c r="AG57" s="691">
        <v>55250</v>
      </c>
      <c r="AH57" s="691"/>
    </row>
    <row r="58" spans="2:34" ht="15" x14ac:dyDescent="0.25">
      <c r="B58" s="684" t="s">
        <v>264</v>
      </c>
      <c r="C58" s="679">
        <v>13600</v>
      </c>
      <c r="D58" s="679">
        <v>13800</v>
      </c>
      <c r="E58" s="679">
        <v>14500</v>
      </c>
      <c r="F58" s="679">
        <v>16200</v>
      </c>
      <c r="G58" s="679">
        <v>16700</v>
      </c>
      <c r="H58" s="679">
        <v>16700</v>
      </c>
      <c r="I58" s="679">
        <v>18150</v>
      </c>
      <c r="J58" s="679">
        <v>19350</v>
      </c>
      <c r="K58" s="679">
        <v>19500</v>
      </c>
      <c r="L58" s="544">
        <v>20200</v>
      </c>
      <c r="M58" s="544">
        <v>21150</v>
      </c>
      <c r="N58" s="544">
        <v>21850</v>
      </c>
      <c r="O58" s="544">
        <v>23000</v>
      </c>
      <c r="P58" s="544">
        <v>25100</v>
      </c>
      <c r="Q58" s="544">
        <v>25850</v>
      </c>
      <c r="R58" s="544">
        <v>26950</v>
      </c>
      <c r="S58" s="544">
        <v>26950</v>
      </c>
      <c r="T58" s="544">
        <v>26950</v>
      </c>
      <c r="U58" s="544">
        <v>26950</v>
      </c>
      <c r="V58" s="680">
        <v>28200</v>
      </c>
      <c r="W58" s="681">
        <v>28200</v>
      </c>
      <c r="X58" s="682">
        <v>29600</v>
      </c>
      <c r="Y58" s="682">
        <v>30500</v>
      </c>
      <c r="Z58" s="682">
        <v>29800</v>
      </c>
      <c r="AA58" s="682">
        <v>28800</v>
      </c>
      <c r="AB58" s="682">
        <v>30350</v>
      </c>
      <c r="AC58" s="683">
        <v>30000</v>
      </c>
      <c r="AD58" s="683">
        <v>31900</v>
      </c>
      <c r="AE58" s="683">
        <v>33650</v>
      </c>
      <c r="AF58" s="683">
        <v>34050</v>
      </c>
      <c r="AG58" s="691">
        <v>35500</v>
      </c>
      <c r="AH58" s="691"/>
    </row>
    <row r="59" spans="2:34" ht="15" x14ac:dyDescent="0.25">
      <c r="B59" s="684" t="s">
        <v>265</v>
      </c>
      <c r="C59" s="679">
        <v>13600</v>
      </c>
      <c r="D59" s="679">
        <v>13800</v>
      </c>
      <c r="E59" s="679">
        <v>14500</v>
      </c>
      <c r="F59" s="679">
        <v>16200</v>
      </c>
      <c r="G59" s="679">
        <v>16700</v>
      </c>
      <c r="H59" s="679">
        <v>16700</v>
      </c>
      <c r="I59" s="679">
        <v>18150</v>
      </c>
      <c r="J59" s="679">
        <v>19350</v>
      </c>
      <c r="K59" s="679">
        <v>19500</v>
      </c>
      <c r="L59" s="544">
        <v>20200</v>
      </c>
      <c r="M59" s="544">
        <v>21150</v>
      </c>
      <c r="N59" s="544">
        <v>21850</v>
      </c>
      <c r="O59" s="544">
        <v>23000</v>
      </c>
      <c r="P59" s="544">
        <v>25100</v>
      </c>
      <c r="Q59" s="544">
        <v>25850</v>
      </c>
      <c r="R59" s="544">
        <v>26950</v>
      </c>
      <c r="S59" s="544">
        <v>26950</v>
      </c>
      <c r="T59" s="544">
        <v>26950</v>
      </c>
      <c r="U59" s="544">
        <v>26950</v>
      </c>
      <c r="V59" s="680">
        <v>28200</v>
      </c>
      <c r="W59" s="681">
        <v>28200</v>
      </c>
      <c r="X59" s="682">
        <v>29600</v>
      </c>
      <c r="Y59" s="682">
        <v>30500</v>
      </c>
      <c r="Z59" s="682">
        <v>29800</v>
      </c>
      <c r="AA59" s="682">
        <v>28800</v>
      </c>
      <c r="AB59" s="682">
        <v>30350</v>
      </c>
      <c r="AC59" s="683">
        <v>30000</v>
      </c>
      <c r="AD59" s="683">
        <v>31900</v>
      </c>
      <c r="AE59" s="683">
        <v>33650</v>
      </c>
      <c r="AF59" s="683">
        <v>34050</v>
      </c>
      <c r="AG59" s="691">
        <v>35500</v>
      </c>
      <c r="AH59" s="691"/>
    </row>
    <row r="60" spans="2:34" ht="15" x14ac:dyDescent="0.25">
      <c r="B60" s="684" t="s">
        <v>266</v>
      </c>
      <c r="C60" s="679">
        <v>18050</v>
      </c>
      <c r="D60" s="679">
        <v>18050</v>
      </c>
      <c r="E60" s="679">
        <v>19300</v>
      </c>
      <c r="F60" s="679">
        <v>19650</v>
      </c>
      <c r="G60" s="679">
        <v>17900</v>
      </c>
      <c r="H60" s="679">
        <v>18150</v>
      </c>
      <c r="I60" s="679">
        <v>20900</v>
      </c>
      <c r="J60" s="679">
        <v>22000</v>
      </c>
      <c r="K60" s="679">
        <v>22000</v>
      </c>
      <c r="L60" s="544">
        <v>22000</v>
      </c>
      <c r="M60" s="544">
        <v>22550</v>
      </c>
      <c r="N60" s="544">
        <v>22550</v>
      </c>
      <c r="O60" s="544">
        <v>23000</v>
      </c>
      <c r="P60" s="544">
        <v>25100</v>
      </c>
      <c r="Q60" s="544">
        <v>25850</v>
      </c>
      <c r="R60" s="544">
        <v>26950</v>
      </c>
      <c r="S60" s="544">
        <v>26950</v>
      </c>
      <c r="T60" s="544">
        <v>27000</v>
      </c>
      <c r="U60" s="544">
        <v>28400</v>
      </c>
      <c r="V60" s="680">
        <v>28400</v>
      </c>
      <c r="W60" s="681">
        <v>28250</v>
      </c>
      <c r="X60" s="682">
        <v>29650</v>
      </c>
      <c r="Y60" s="682">
        <v>31100</v>
      </c>
      <c r="Z60" s="682">
        <v>32650</v>
      </c>
      <c r="AA60" s="682">
        <v>34250</v>
      </c>
      <c r="AB60" s="682">
        <v>36250</v>
      </c>
      <c r="AC60" s="683">
        <v>38050</v>
      </c>
      <c r="AD60" s="683">
        <v>39050</v>
      </c>
      <c r="AE60" s="683">
        <v>39400</v>
      </c>
      <c r="AF60" s="683">
        <v>39400</v>
      </c>
      <c r="AG60" s="691">
        <v>41700</v>
      </c>
      <c r="AH60" s="691"/>
    </row>
    <row r="61" spans="2:34" ht="15" x14ac:dyDescent="0.25">
      <c r="B61" s="684" t="s">
        <v>267</v>
      </c>
      <c r="C61" s="679">
        <v>13600</v>
      </c>
      <c r="D61" s="679">
        <v>13800</v>
      </c>
      <c r="E61" s="679">
        <v>14500</v>
      </c>
      <c r="F61" s="679">
        <v>16200</v>
      </c>
      <c r="G61" s="679">
        <v>16700</v>
      </c>
      <c r="H61" s="679">
        <v>16700</v>
      </c>
      <c r="I61" s="679">
        <v>18150</v>
      </c>
      <c r="J61" s="679">
        <v>19350</v>
      </c>
      <c r="K61" s="679">
        <v>19500</v>
      </c>
      <c r="L61" s="544">
        <v>20200</v>
      </c>
      <c r="M61" s="544">
        <v>21150</v>
      </c>
      <c r="N61" s="544">
        <v>21850</v>
      </c>
      <c r="O61" s="544">
        <v>23000</v>
      </c>
      <c r="P61" s="544">
        <v>25100</v>
      </c>
      <c r="Q61" s="544">
        <v>25850</v>
      </c>
      <c r="R61" s="544">
        <v>26950</v>
      </c>
      <c r="S61" s="544">
        <v>26950</v>
      </c>
      <c r="T61" s="544">
        <v>26950</v>
      </c>
      <c r="U61" s="544">
        <v>26950</v>
      </c>
      <c r="V61" s="680">
        <v>28200</v>
      </c>
      <c r="W61" s="681">
        <v>28200</v>
      </c>
      <c r="X61" s="682">
        <v>29600</v>
      </c>
      <c r="Y61" s="682">
        <v>30500</v>
      </c>
      <c r="Z61" s="682">
        <v>29800</v>
      </c>
      <c r="AA61" s="682">
        <v>28800</v>
      </c>
      <c r="AB61" s="682">
        <v>30350</v>
      </c>
      <c r="AC61" s="683">
        <v>30000</v>
      </c>
      <c r="AD61" s="683">
        <v>31900</v>
      </c>
      <c r="AE61" s="683">
        <v>33650</v>
      </c>
      <c r="AF61" s="683">
        <v>34050</v>
      </c>
      <c r="AG61" s="691">
        <v>35500</v>
      </c>
      <c r="AH61" s="691"/>
    </row>
    <row r="62" spans="2:34" ht="15" x14ac:dyDescent="0.25">
      <c r="B62" s="684" t="s">
        <v>268</v>
      </c>
      <c r="C62" s="679">
        <v>19600</v>
      </c>
      <c r="D62" s="679">
        <v>20250</v>
      </c>
      <c r="E62" s="679">
        <v>21800</v>
      </c>
      <c r="F62" s="679">
        <v>21350</v>
      </c>
      <c r="G62" s="679">
        <v>21350</v>
      </c>
      <c r="H62" s="679">
        <v>21350</v>
      </c>
      <c r="I62" s="679">
        <v>23150</v>
      </c>
      <c r="J62" s="679">
        <v>24850</v>
      </c>
      <c r="K62" s="679">
        <v>24850</v>
      </c>
      <c r="L62" s="544">
        <v>26150</v>
      </c>
      <c r="M62" s="544">
        <v>27150</v>
      </c>
      <c r="N62" s="544">
        <v>28000</v>
      </c>
      <c r="O62" s="544">
        <v>30750</v>
      </c>
      <c r="P62" s="544">
        <v>32800</v>
      </c>
      <c r="Q62" s="544">
        <v>33700</v>
      </c>
      <c r="R62" s="544">
        <v>36350</v>
      </c>
      <c r="S62" s="544">
        <v>36350</v>
      </c>
      <c r="T62" s="544">
        <v>36800</v>
      </c>
      <c r="U62" s="544">
        <v>37850</v>
      </c>
      <c r="V62" s="680">
        <v>40300</v>
      </c>
      <c r="W62" s="681">
        <v>39950</v>
      </c>
      <c r="X62" s="682">
        <v>40050</v>
      </c>
      <c r="Y62" s="682">
        <v>40600</v>
      </c>
      <c r="Z62" s="682">
        <v>39600</v>
      </c>
      <c r="AA62" s="682">
        <v>38750</v>
      </c>
      <c r="AB62" s="682">
        <v>39400</v>
      </c>
      <c r="AC62" s="683">
        <v>38250</v>
      </c>
      <c r="AD62" s="683">
        <v>39650</v>
      </c>
      <c r="AE62" s="683">
        <v>43350</v>
      </c>
      <c r="AF62" s="683">
        <v>43050</v>
      </c>
      <c r="AG62" s="691">
        <v>43600</v>
      </c>
      <c r="AH62" s="691"/>
    </row>
    <row r="63" spans="2:34" ht="15" x14ac:dyDescent="0.25">
      <c r="B63" s="684" t="s">
        <v>269</v>
      </c>
      <c r="C63" s="679">
        <v>13600</v>
      </c>
      <c r="D63" s="679">
        <v>13800</v>
      </c>
      <c r="E63" s="679">
        <v>14500</v>
      </c>
      <c r="F63" s="679">
        <v>16200</v>
      </c>
      <c r="G63" s="679">
        <v>16700</v>
      </c>
      <c r="H63" s="679">
        <v>16700</v>
      </c>
      <c r="I63" s="679">
        <v>18150</v>
      </c>
      <c r="J63" s="679">
        <v>19350</v>
      </c>
      <c r="K63" s="679">
        <v>19500</v>
      </c>
      <c r="L63" s="544">
        <v>20200</v>
      </c>
      <c r="M63" s="544">
        <v>21150</v>
      </c>
      <c r="N63" s="544">
        <v>21850</v>
      </c>
      <c r="O63" s="544">
        <v>23000</v>
      </c>
      <c r="P63" s="544">
        <v>25100</v>
      </c>
      <c r="Q63" s="544">
        <v>25850</v>
      </c>
      <c r="R63" s="544">
        <v>26950</v>
      </c>
      <c r="S63" s="544">
        <v>26950</v>
      </c>
      <c r="T63" s="544">
        <v>26950</v>
      </c>
      <c r="U63" s="544">
        <v>26950</v>
      </c>
      <c r="V63" s="680">
        <v>28200</v>
      </c>
      <c r="W63" s="681">
        <v>28200</v>
      </c>
      <c r="X63" s="682">
        <v>29600</v>
      </c>
      <c r="Y63" s="682">
        <v>30500</v>
      </c>
      <c r="Z63" s="682">
        <v>29800</v>
      </c>
      <c r="AA63" s="682">
        <v>28800</v>
      </c>
      <c r="AB63" s="682">
        <v>30350</v>
      </c>
      <c r="AC63" s="683">
        <v>30000</v>
      </c>
      <c r="AD63" s="683">
        <v>31900</v>
      </c>
      <c r="AE63" s="683">
        <v>33650</v>
      </c>
      <c r="AF63" s="683">
        <v>34050</v>
      </c>
      <c r="AG63" s="691">
        <v>35500</v>
      </c>
      <c r="AH63" s="691"/>
    </row>
    <row r="64" spans="2:34" ht="15" x14ac:dyDescent="0.25">
      <c r="B64" s="684" t="s">
        <v>270</v>
      </c>
      <c r="C64" s="679">
        <v>14150</v>
      </c>
      <c r="D64" s="679">
        <v>14350</v>
      </c>
      <c r="E64" s="679">
        <v>15500</v>
      </c>
      <c r="F64" s="679">
        <v>16650</v>
      </c>
      <c r="G64" s="679">
        <v>16700</v>
      </c>
      <c r="H64" s="679">
        <v>16700</v>
      </c>
      <c r="I64" s="679">
        <v>18150</v>
      </c>
      <c r="J64" s="679">
        <v>19350</v>
      </c>
      <c r="K64" s="679">
        <v>19500</v>
      </c>
      <c r="L64" s="544">
        <v>20200</v>
      </c>
      <c r="M64" s="544">
        <v>21150</v>
      </c>
      <c r="N64" s="544">
        <v>21850</v>
      </c>
      <c r="O64" s="544">
        <v>23000</v>
      </c>
      <c r="P64" s="544">
        <v>25100</v>
      </c>
      <c r="Q64" s="544">
        <v>25850</v>
      </c>
      <c r="R64" s="544">
        <v>26950</v>
      </c>
      <c r="S64" s="544">
        <v>26950</v>
      </c>
      <c r="T64" s="544">
        <v>26950</v>
      </c>
      <c r="U64" s="544">
        <v>26950</v>
      </c>
      <c r="V64" s="680">
        <v>28200</v>
      </c>
      <c r="W64" s="681">
        <v>28200</v>
      </c>
      <c r="X64" s="682">
        <v>29600</v>
      </c>
      <c r="Y64" s="682">
        <v>31050</v>
      </c>
      <c r="Z64" s="682">
        <v>32600</v>
      </c>
      <c r="AA64" s="682">
        <v>31000</v>
      </c>
      <c r="AB64" s="682">
        <v>30350</v>
      </c>
      <c r="AC64" s="683">
        <v>31400</v>
      </c>
      <c r="AD64" s="683">
        <v>31900</v>
      </c>
      <c r="AE64" s="683">
        <v>35550</v>
      </c>
      <c r="AF64" s="683">
        <v>34050</v>
      </c>
      <c r="AG64" s="691">
        <v>35500</v>
      </c>
      <c r="AH64" s="691"/>
    </row>
    <row r="65" spans="2:34" ht="15" x14ac:dyDescent="0.25">
      <c r="B65" s="684" t="s">
        <v>271</v>
      </c>
      <c r="C65" s="679">
        <v>17300</v>
      </c>
      <c r="D65" s="679">
        <v>17800</v>
      </c>
      <c r="E65" s="679">
        <v>18550</v>
      </c>
      <c r="F65" s="679">
        <v>19250</v>
      </c>
      <c r="G65" s="679">
        <v>30050</v>
      </c>
      <c r="H65" s="679">
        <v>30450</v>
      </c>
      <c r="I65" s="679">
        <v>30450</v>
      </c>
      <c r="J65" s="679">
        <v>31300</v>
      </c>
      <c r="K65" s="679">
        <v>31800</v>
      </c>
      <c r="L65" s="544">
        <v>32450</v>
      </c>
      <c r="M65" s="544">
        <v>32750</v>
      </c>
      <c r="N65" s="544">
        <v>33050</v>
      </c>
      <c r="O65" s="544">
        <v>34200</v>
      </c>
      <c r="P65" s="544">
        <v>35250</v>
      </c>
      <c r="Q65" s="544">
        <v>35650</v>
      </c>
      <c r="R65" s="544">
        <v>35650</v>
      </c>
      <c r="S65" s="544">
        <v>35650</v>
      </c>
      <c r="T65" s="544">
        <v>35850</v>
      </c>
      <c r="U65" s="544">
        <v>37000</v>
      </c>
      <c r="V65" s="680">
        <v>38400</v>
      </c>
      <c r="W65" s="681">
        <v>38400</v>
      </c>
      <c r="X65" s="682">
        <v>40300</v>
      </c>
      <c r="Y65" s="682">
        <v>42300</v>
      </c>
      <c r="Z65" s="682">
        <v>43950</v>
      </c>
      <c r="AA65" s="682">
        <v>43700</v>
      </c>
      <c r="AB65" s="682">
        <v>42050</v>
      </c>
      <c r="AC65" s="683">
        <v>40200</v>
      </c>
      <c r="AD65" s="683">
        <v>39500</v>
      </c>
      <c r="AE65" s="683">
        <v>42450</v>
      </c>
      <c r="AF65" s="683">
        <v>42600</v>
      </c>
      <c r="AG65" s="691">
        <v>40750</v>
      </c>
      <c r="AH65" s="691"/>
    </row>
    <row r="66" spans="2:34" ht="15" x14ac:dyDescent="0.25">
      <c r="B66" s="684" t="s">
        <v>272</v>
      </c>
      <c r="C66" s="679">
        <v>13600</v>
      </c>
      <c r="D66" s="679">
        <v>13800</v>
      </c>
      <c r="E66" s="679">
        <v>14500</v>
      </c>
      <c r="F66" s="679">
        <v>16200</v>
      </c>
      <c r="G66" s="679">
        <v>16700</v>
      </c>
      <c r="H66" s="679">
        <v>16700</v>
      </c>
      <c r="I66" s="679">
        <v>18150</v>
      </c>
      <c r="J66" s="679">
        <v>19350</v>
      </c>
      <c r="K66" s="679">
        <v>19500</v>
      </c>
      <c r="L66" s="544">
        <v>20200</v>
      </c>
      <c r="M66" s="544">
        <v>21150</v>
      </c>
      <c r="N66" s="544">
        <v>21850</v>
      </c>
      <c r="O66" s="544">
        <v>23000</v>
      </c>
      <c r="P66" s="544">
        <v>25100</v>
      </c>
      <c r="Q66" s="544">
        <v>25850</v>
      </c>
      <c r="R66" s="544">
        <v>26950</v>
      </c>
      <c r="S66" s="544">
        <v>26950</v>
      </c>
      <c r="T66" s="544">
        <v>26950</v>
      </c>
      <c r="U66" s="544">
        <v>26950</v>
      </c>
      <c r="V66" s="680">
        <v>28200</v>
      </c>
      <c r="W66" s="681">
        <v>28200</v>
      </c>
      <c r="X66" s="682">
        <v>29600</v>
      </c>
      <c r="Y66" s="682">
        <v>30500</v>
      </c>
      <c r="Z66" s="682">
        <v>29800</v>
      </c>
      <c r="AA66" s="682">
        <v>28800</v>
      </c>
      <c r="AB66" s="682">
        <v>30350</v>
      </c>
      <c r="AC66" s="683">
        <v>30000</v>
      </c>
      <c r="AD66" s="683">
        <v>31900</v>
      </c>
      <c r="AE66" s="683">
        <v>33650</v>
      </c>
      <c r="AF66" s="683">
        <v>34050</v>
      </c>
      <c r="AG66" s="691">
        <v>35500</v>
      </c>
      <c r="AH66" s="691"/>
    </row>
    <row r="67" spans="2:34" ht="15" x14ac:dyDescent="0.25">
      <c r="B67" s="684" t="s">
        <v>273</v>
      </c>
      <c r="C67" s="679">
        <v>20250</v>
      </c>
      <c r="D67" s="679">
        <v>20950</v>
      </c>
      <c r="E67" s="679">
        <v>22550</v>
      </c>
      <c r="F67" s="679">
        <v>24050</v>
      </c>
      <c r="G67" s="679">
        <v>24400</v>
      </c>
      <c r="H67" s="679">
        <v>24500</v>
      </c>
      <c r="I67" s="679">
        <v>26700</v>
      </c>
      <c r="J67" s="679">
        <v>28700</v>
      </c>
      <c r="K67" s="679">
        <v>28700</v>
      </c>
      <c r="L67" s="544">
        <v>30200</v>
      </c>
      <c r="M67" s="544">
        <v>32300</v>
      </c>
      <c r="N67" s="544">
        <v>33700</v>
      </c>
      <c r="O67" s="544">
        <v>36350</v>
      </c>
      <c r="P67" s="544">
        <v>36350</v>
      </c>
      <c r="Q67" s="544">
        <v>38050</v>
      </c>
      <c r="R67" s="544">
        <v>39200</v>
      </c>
      <c r="S67" s="544">
        <v>39200</v>
      </c>
      <c r="T67" s="544">
        <v>39400</v>
      </c>
      <c r="U67" s="544">
        <v>40650</v>
      </c>
      <c r="V67" s="680">
        <v>42550</v>
      </c>
      <c r="W67" s="681">
        <v>43600</v>
      </c>
      <c r="X67" s="682">
        <v>44300</v>
      </c>
      <c r="Y67" s="682">
        <v>44900</v>
      </c>
      <c r="Z67" s="682">
        <v>46050</v>
      </c>
      <c r="AA67" s="682">
        <v>45400</v>
      </c>
      <c r="AB67" s="682">
        <v>43300</v>
      </c>
      <c r="AC67" s="683">
        <v>41150</v>
      </c>
      <c r="AD67" s="683">
        <v>44000</v>
      </c>
      <c r="AE67" s="683">
        <v>45300</v>
      </c>
      <c r="AF67" s="683">
        <v>44550</v>
      </c>
      <c r="AG67" s="691">
        <v>47950</v>
      </c>
      <c r="AH67" s="691"/>
    </row>
    <row r="68" spans="2:34" ht="15" x14ac:dyDescent="0.25">
      <c r="B68" s="684" t="s">
        <v>274</v>
      </c>
      <c r="C68" s="679">
        <v>14500</v>
      </c>
      <c r="D68" s="679">
        <v>14950</v>
      </c>
      <c r="E68" s="679">
        <v>15600</v>
      </c>
      <c r="F68" s="679">
        <v>20400</v>
      </c>
      <c r="G68" s="679">
        <v>21750</v>
      </c>
      <c r="H68" s="679">
        <v>22300</v>
      </c>
      <c r="I68" s="679">
        <v>24400</v>
      </c>
      <c r="J68" s="679">
        <v>25550</v>
      </c>
      <c r="K68" s="679">
        <v>27300</v>
      </c>
      <c r="L68" s="544">
        <v>28350</v>
      </c>
      <c r="M68" s="544">
        <v>29200</v>
      </c>
      <c r="N68" s="544">
        <v>30900</v>
      </c>
      <c r="O68" s="544">
        <v>33450</v>
      </c>
      <c r="P68" s="544">
        <v>33450</v>
      </c>
      <c r="Q68" s="544">
        <v>33450</v>
      </c>
      <c r="R68" s="544">
        <v>33550</v>
      </c>
      <c r="S68" s="544">
        <v>33550</v>
      </c>
      <c r="T68" s="544">
        <v>34000</v>
      </c>
      <c r="U68" s="544">
        <v>34650</v>
      </c>
      <c r="V68" s="680">
        <v>36250</v>
      </c>
      <c r="W68" s="681">
        <v>36250</v>
      </c>
      <c r="X68" s="682">
        <v>35650</v>
      </c>
      <c r="Y68" s="682">
        <v>36150</v>
      </c>
      <c r="Z68" s="682">
        <v>36300</v>
      </c>
      <c r="AA68" s="682">
        <v>36000</v>
      </c>
      <c r="AB68" s="682">
        <v>36450</v>
      </c>
      <c r="AC68" s="683">
        <v>37650</v>
      </c>
      <c r="AD68" s="683">
        <v>39550</v>
      </c>
      <c r="AE68" s="683">
        <v>40350</v>
      </c>
      <c r="AF68" s="683">
        <v>39900</v>
      </c>
      <c r="AG68" s="691">
        <v>40900</v>
      </c>
      <c r="AH68" s="691"/>
    </row>
    <row r="69" spans="2:34" ht="15" x14ac:dyDescent="0.25">
      <c r="B69" s="684" t="s">
        <v>275</v>
      </c>
      <c r="C69" s="679">
        <v>13600</v>
      </c>
      <c r="D69" s="679">
        <v>13800</v>
      </c>
      <c r="E69" s="679">
        <v>14500</v>
      </c>
      <c r="F69" s="679">
        <v>16200</v>
      </c>
      <c r="G69" s="679">
        <v>16700</v>
      </c>
      <c r="H69" s="679">
        <v>16700</v>
      </c>
      <c r="I69" s="679">
        <v>18150</v>
      </c>
      <c r="J69" s="679">
        <v>19350</v>
      </c>
      <c r="K69" s="679">
        <v>19500</v>
      </c>
      <c r="L69" s="544">
        <v>20200</v>
      </c>
      <c r="M69" s="544">
        <v>21150</v>
      </c>
      <c r="N69" s="544">
        <v>21850</v>
      </c>
      <c r="O69" s="544">
        <v>23000</v>
      </c>
      <c r="P69" s="544">
        <v>25100</v>
      </c>
      <c r="Q69" s="544">
        <v>25850</v>
      </c>
      <c r="R69" s="544">
        <v>26950</v>
      </c>
      <c r="S69" s="544">
        <v>26950</v>
      </c>
      <c r="T69" s="544">
        <v>26950</v>
      </c>
      <c r="U69" s="544">
        <v>26950</v>
      </c>
      <c r="V69" s="680">
        <v>28200</v>
      </c>
      <c r="W69" s="681">
        <v>28200</v>
      </c>
      <c r="X69" s="682">
        <v>29600</v>
      </c>
      <c r="Y69" s="682">
        <v>30500</v>
      </c>
      <c r="Z69" s="682">
        <v>29800</v>
      </c>
      <c r="AA69" s="682">
        <v>28800</v>
      </c>
      <c r="AB69" s="682">
        <v>30350</v>
      </c>
      <c r="AC69" s="683">
        <v>30000</v>
      </c>
      <c r="AD69" s="683">
        <v>31900</v>
      </c>
      <c r="AE69" s="683">
        <v>33650</v>
      </c>
      <c r="AF69" s="683">
        <v>34050</v>
      </c>
      <c r="AG69" s="691">
        <v>35500</v>
      </c>
      <c r="AH69" s="691"/>
    </row>
    <row r="70" spans="2:34" ht="15" x14ac:dyDescent="0.25">
      <c r="B70" s="684" t="s">
        <v>276</v>
      </c>
      <c r="C70" s="679">
        <v>15350</v>
      </c>
      <c r="D70" s="679">
        <v>15400</v>
      </c>
      <c r="E70" s="679">
        <v>16950</v>
      </c>
      <c r="F70" s="679">
        <v>17750</v>
      </c>
      <c r="G70" s="679">
        <v>18400</v>
      </c>
      <c r="H70" s="679">
        <v>18400</v>
      </c>
      <c r="I70" s="679">
        <v>19500</v>
      </c>
      <c r="J70" s="679">
        <v>20650</v>
      </c>
      <c r="K70" s="679">
        <v>20650</v>
      </c>
      <c r="L70" s="544">
        <v>21600</v>
      </c>
      <c r="M70" s="544">
        <v>22450</v>
      </c>
      <c r="N70" s="544">
        <v>22750</v>
      </c>
      <c r="O70" s="544">
        <v>23950</v>
      </c>
      <c r="P70" s="544">
        <v>27000</v>
      </c>
      <c r="Q70" s="544">
        <v>27700</v>
      </c>
      <c r="R70" s="544">
        <v>29150</v>
      </c>
      <c r="S70" s="544">
        <v>29150</v>
      </c>
      <c r="T70" s="544">
        <v>29900</v>
      </c>
      <c r="U70" s="544">
        <v>32000</v>
      </c>
      <c r="V70" s="680">
        <v>32150</v>
      </c>
      <c r="W70" s="681">
        <v>32500</v>
      </c>
      <c r="X70" s="682">
        <v>33750</v>
      </c>
      <c r="Y70" s="682">
        <v>34200</v>
      </c>
      <c r="Z70" s="682">
        <v>33150</v>
      </c>
      <c r="AA70" s="682">
        <v>31500</v>
      </c>
      <c r="AB70" s="682">
        <v>33350</v>
      </c>
      <c r="AC70" s="683">
        <v>34300</v>
      </c>
      <c r="AD70" s="683">
        <v>36700</v>
      </c>
      <c r="AE70" s="683">
        <v>40900</v>
      </c>
      <c r="AF70" s="683">
        <v>39600</v>
      </c>
      <c r="AG70" s="691">
        <v>42150</v>
      </c>
      <c r="AH70" s="691"/>
    </row>
    <row r="71" spans="2:34" ht="15" x14ac:dyDescent="0.25">
      <c r="B71" s="684" t="s">
        <v>277</v>
      </c>
      <c r="C71" s="679">
        <v>13600</v>
      </c>
      <c r="D71" s="679">
        <v>13800</v>
      </c>
      <c r="E71" s="679">
        <v>14500</v>
      </c>
      <c r="F71" s="679">
        <v>16200</v>
      </c>
      <c r="G71" s="679">
        <v>16700</v>
      </c>
      <c r="H71" s="679">
        <v>16700</v>
      </c>
      <c r="I71" s="679">
        <v>18150</v>
      </c>
      <c r="J71" s="679">
        <v>19350</v>
      </c>
      <c r="K71" s="679">
        <v>19500</v>
      </c>
      <c r="L71" s="544">
        <v>20200</v>
      </c>
      <c r="M71" s="544">
        <v>21150</v>
      </c>
      <c r="N71" s="544">
        <v>21850</v>
      </c>
      <c r="O71" s="544">
        <v>23000</v>
      </c>
      <c r="P71" s="544">
        <v>25100</v>
      </c>
      <c r="Q71" s="544">
        <v>25850</v>
      </c>
      <c r="R71" s="544">
        <v>26950</v>
      </c>
      <c r="S71" s="544">
        <v>26950</v>
      </c>
      <c r="T71" s="544">
        <v>26950</v>
      </c>
      <c r="U71" s="544">
        <v>26950</v>
      </c>
      <c r="V71" s="680">
        <v>28200</v>
      </c>
      <c r="W71" s="681">
        <v>28200</v>
      </c>
      <c r="X71" s="682">
        <v>29600</v>
      </c>
      <c r="Y71" s="682">
        <v>30500</v>
      </c>
      <c r="Z71" s="682">
        <v>29800</v>
      </c>
      <c r="AA71" s="682">
        <v>28800</v>
      </c>
      <c r="AB71" s="682">
        <v>30350</v>
      </c>
      <c r="AC71" s="683">
        <v>30000</v>
      </c>
      <c r="AD71" s="683">
        <v>31900</v>
      </c>
      <c r="AE71" s="683">
        <v>33650</v>
      </c>
      <c r="AF71" s="683">
        <v>34050</v>
      </c>
      <c r="AG71" s="691">
        <v>35500</v>
      </c>
      <c r="AH71" s="691"/>
    </row>
    <row r="72" spans="2:34" ht="15" x14ac:dyDescent="0.25">
      <c r="B72" s="684" t="s">
        <v>1781</v>
      </c>
      <c r="C72" s="679"/>
      <c r="D72" s="679"/>
      <c r="E72" s="679"/>
      <c r="F72" s="679"/>
      <c r="G72" s="679"/>
      <c r="H72" s="679"/>
      <c r="I72" s="679"/>
      <c r="J72" s="679"/>
      <c r="K72" s="679"/>
      <c r="L72" s="544"/>
      <c r="M72" s="544"/>
      <c r="N72" s="544"/>
      <c r="O72" s="544"/>
      <c r="P72" s="544"/>
      <c r="Q72" s="544"/>
      <c r="R72" s="544"/>
      <c r="S72" s="544"/>
      <c r="T72" s="544"/>
      <c r="U72" s="544"/>
      <c r="V72" s="680"/>
      <c r="W72" s="681"/>
      <c r="X72" s="682"/>
      <c r="Y72" s="682"/>
      <c r="Z72" s="682"/>
      <c r="AA72" s="682"/>
      <c r="AB72" s="682"/>
      <c r="AC72" s="683"/>
      <c r="AD72" s="683"/>
      <c r="AE72" s="683"/>
      <c r="AF72" s="683"/>
      <c r="AG72" s="691"/>
      <c r="AH72" s="691"/>
    </row>
    <row r="73" spans="2:34" ht="15" x14ac:dyDescent="0.25">
      <c r="B73" s="684" t="s">
        <v>278</v>
      </c>
      <c r="C73" s="679">
        <v>15650</v>
      </c>
      <c r="D73" s="679">
        <v>17200</v>
      </c>
      <c r="E73" s="679">
        <v>18750</v>
      </c>
      <c r="F73" s="679">
        <v>18600</v>
      </c>
      <c r="G73" s="679">
        <v>18600</v>
      </c>
      <c r="H73" s="679">
        <v>18600</v>
      </c>
      <c r="I73" s="679">
        <v>19350</v>
      </c>
      <c r="J73" s="679">
        <v>19950</v>
      </c>
      <c r="K73" s="679">
        <v>20600</v>
      </c>
      <c r="L73" s="544">
        <v>21050</v>
      </c>
      <c r="M73" s="544">
        <v>23500</v>
      </c>
      <c r="N73" s="544">
        <v>24350</v>
      </c>
      <c r="O73" s="544">
        <v>24700</v>
      </c>
      <c r="P73" s="544">
        <v>27350</v>
      </c>
      <c r="Q73" s="544">
        <v>28150</v>
      </c>
      <c r="R73" s="544">
        <v>28550</v>
      </c>
      <c r="S73" s="544">
        <v>28800</v>
      </c>
      <c r="T73" s="544">
        <v>28800</v>
      </c>
      <c r="U73" s="544">
        <v>28800</v>
      </c>
      <c r="V73" s="680">
        <v>29950</v>
      </c>
      <c r="W73" s="681">
        <v>30250</v>
      </c>
      <c r="X73" s="682">
        <v>31050</v>
      </c>
      <c r="Y73" s="682">
        <v>31450</v>
      </c>
      <c r="Z73" s="682">
        <v>32050</v>
      </c>
      <c r="AA73" s="682">
        <v>30950</v>
      </c>
      <c r="AB73" s="682">
        <v>32750</v>
      </c>
      <c r="AC73" s="683">
        <v>32700</v>
      </c>
      <c r="AD73" s="683">
        <v>34000</v>
      </c>
      <c r="AE73" s="683">
        <v>33900</v>
      </c>
      <c r="AF73" s="683">
        <v>37250</v>
      </c>
      <c r="AG73" s="691">
        <v>36250</v>
      </c>
      <c r="AH73" s="691"/>
    </row>
    <row r="74" spans="2:34" ht="15" x14ac:dyDescent="0.25">
      <c r="B74" s="684" t="s">
        <v>279</v>
      </c>
      <c r="C74" s="679">
        <v>15050</v>
      </c>
      <c r="D74" s="679">
        <v>16150</v>
      </c>
      <c r="E74" s="679">
        <v>17650</v>
      </c>
      <c r="F74" s="679">
        <v>18150</v>
      </c>
      <c r="G74" s="679">
        <v>18500</v>
      </c>
      <c r="H74" s="679">
        <v>18750</v>
      </c>
      <c r="I74" s="679">
        <v>18750</v>
      </c>
      <c r="J74" s="679">
        <v>19600</v>
      </c>
      <c r="K74" s="679">
        <v>20600</v>
      </c>
      <c r="L74" s="544">
        <v>21050</v>
      </c>
      <c r="M74" s="544">
        <v>22650</v>
      </c>
      <c r="N74" s="544">
        <v>26200</v>
      </c>
      <c r="O74" s="544">
        <v>26300</v>
      </c>
      <c r="P74" s="544">
        <v>29050</v>
      </c>
      <c r="Q74" s="544">
        <v>29250</v>
      </c>
      <c r="R74" s="544">
        <v>29800</v>
      </c>
      <c r="S74" s="544">
        <v>29950</v>
      </c>
      <c r="T74" s="544">
        <v>30000</v>
      </c>
      <c r="U74" s="544">
        <v>30300</v>
      </c>
      <c r="V74" s="680">
        <v>31850</v>
      </c>
      <c r="W74" s="681">
        <v>32100</v>
      </c>
      <c r="X74" s="682">
        <v>32800</v>
      </c>
      <c r="Y74" s="682">
        <v>33250</v>
      </c>
      <c r="Z74" s="682">
        <v>34900</v>
      </c>
      <c r="AA74" s="682">
        <v>36000</v>
      </c>
      <c r="AB74" s="682">
        <v>36050</v>
      </c>
      <c r="AC74" s="683">
        <v>34800</v>
      </c>
      <c r="AD74" s="683">
        <v>34700</v>
      </c>
      <c r="AE74" s="683">
        <v>36500</v>
      </c>
      <c r="AF74" s="683">
        <v>37300</v>
      </c>
      <c r="AG74" s="691">
        <v>38850</v>
      </c>
      <c r="AH74" s="691"/>
    </row>
    <row r="75" spans="2:34" ht="15" x14ac:dyDescent="0.25">
      <c r="B75" s="684" t="s">
        <v>1644</v>
      </c>
      <c r="C75" s="679"/>
      <c r="D75" s="679"/>
      <c r="E75" s="679"/>
      <c r="F75" s="679"/>
      <c r="G75" s="679"/>
      <c r="H75" s="679"/>
      <c r="I75" s="679"/>
      <c r="J75" s="679"/>
      <c r="K75" s="679"/>
      <c r="L75" s="544"/>
      <c r="M75" s="544"/>
      <c r="N75" s="544"/>
      <c r="O75" s="544"/>
      <c r="P75" s="544"/>
      <c r="Q75" s="544"/>
      <c r="R75" s="544"/>
      <c r="S75" s="544"/>
      <c r="T75" s="544"/>
      <c r="U75" s="544"/>
      <c r="V75" s="680"/>
      <c r="W75" s="681"/>
      <c r="X75" s="682"/>
      <c r="Y75" s="682"/>
      <c r="Z75" s="682"/>
      <c r="AA75" s="682"/>
      <c r="AB75" s="682"/>
      <c r="AC75" s="683"/>
      <c r="AD75" s="683"/>
      <c r="AE75" s="683">
        <v>37000</v>
      </c>
      <c r="AF75" s="683">
        <v>40700</v>
      </c>
      <c r="AG75" s="691">
        <v>41450</v>
      </c>
      <c r="AH75" s="691"/>
    </row>
    <row r="76" spans="2:34" ht="15" x14ac:dyDescent="0.25">
      <c r="B76" s="684" t="s">
        <v>280</v>
      </c>
      <c r="C76" s="679">
        <v>14850</v>
      </c>
      <c r="D76" s="679">
        <v>15900</v>
      </c>
      <c r="E76" s="679">
        <v>16600</v>
      </c>
      <c r="F76" s="679">
        <v>16750</v>
      </c>
      <c r="G76" s="679">
        <v>17200</v>
      </c>
      <c r="H76" s="679">
        <v>17200</v>
      </c>
      <c r="I76" s="679">
        <v>18500</v>
      </c>
      <c r="J76" s="679">
        <v>19600</v>
      </c>
      <c r="K76" s="679">
        <v>20600</v>
      </c>
      <c r="L76" s="544">
        <v>21050</v>
      </c>
      <c r="M76" s="544">
        <v>22650</v>
      </c>
      <c r="N76" s="544">
        <v>24200</v>
      </c>
      <c r="O76" s="544">
        <v>24700</v>
      </c>
      <c r="P76" s="544">
        <v>26250</v>
      </c>
      <c r="Q76" s="544">
        <v>27300</v>
      </c>
      <c r="R76" s="544">
        <v>27300</v>
      </c>
      <c r="S76" s="544">
        <v>33250</v>
      </c>
      <c r="T76" s="544">
        <v>33250</v>
      </c>
      <c r="U76" s="544">
        <v>33550</v>
      </c>
      <c r="V76" s="680">
        <v>34950</v>
      </c>
      <c r="W76" s="681">
        <v>35150</v>
      </c>
      <c r="X76" s="682">
        <v>35300</v>
      </c>
      <c r="Y76" s="682">
        <v>35750</v>
      </c>
      <c r="Z76" s="682">
        <v>36350</v>
      </c>
      <c r="AA76" s="682">
        <v>36500</v>
      </c>
      <c r="AB76" s="682">
        <v>36400</v>
      </c>
      <c r="AC76" s="683">
        <v>36050</v>
      </c>
      <c r="AD76" s="683">
        <v>37500</v>
      </c>
      <c r="AE76" s="683">
        <v>40800</v>
      </c>
      <c r="AF76" s="683">
        <v>43000</v>
      </c>
      <c r="AG76" s="691">
        <v>43500</v>
      </c>
      <c r="AH76" s="691"/>
    </row>
    <row r="77" spans="2:34" ht="15" x14ac:dyDescent="0.25">
      <c r="B77" s="684" t="s">
        <v>281</v>
      </c>
      <c r="C77" s="679">
        <v>18950</v>
      </c>
      <c r="D77" s="679">
        <v>20350</v>
      </c>
      <c r="E77" s="679">
        <v>20900</v>
      </c>
      <c r="F77" s="679">
        <v>21350</v>
      </c>
      <c r="G77" s="679">
        <v>22200</v>
      </c>
      <c r="H77" s="679">
        <v>22200</v>
      </c>
      <c r="I77" s="679">
        <v>24150</v>
      </c>
      <c r="J77" s="679">
        <v>25300</v>
      </c>
      <c r="K77" s="679">
        <v>26000</v>
      </c>
      <c r="L77" s="544">
        <v>26450</v>
      </c>
      <c r="M77" s="544">
        <v>26800</v>
      </c>
      <c r="N77" s="544">
        <v>32300</v>
      </c>
      <c r="O77" s="544">
        <v>33450</v>
      </c>
      <c r="P77" s="544">
        <v>33450</v>
      </c>
      <c r="Q77" s="544">
        <v>33450</v>
      </c>
      <c r="R77" s="544">
        <v>34050</v>
      </c>
      <c r="S77" s="544">
        <v>34050</v>
      </c>
      <c r="T77" s="544">
        <v>34050</v>
      </c>
      <c r="U77" s="544">
        <v>34050</v>
      </c>
      <c r="V77" s="680">
        <v>35850</v>
      </c>
      <c r="W77" s="681">
        <v>36600</v>
      </c>
      <c r="X77" s="682">
        <v>37250</v>
      </c>
      <c r="Y77" s="682">
        <v>37750</v>
      </c>
      <c r="Z77" s="682">
        <v>36450</v>
      </c>
      <c r="AA77" s="682">
        <v>37450</v>
      </c>
      <c r="AB77" s="682">
        <v>37500</v>
      </c>
      <c r="AC77" s="683">
        <v>38450</v>
      </c>
      <c r="AD77" s="683">
        <v>41100</v>
      </c>
      <c r="AE77" s="683">
        <v>39800</v>
      </c>
      <c r="AF77" s="683">
        <v>43750</v>
      </c>
      <c r="AG77" s="691">
        <v>44600</v>
      </c>
      <c r="AH77" s="691"/>
    </row>
    <row r="78" spans="2:34" ht="15" x14ac:dyDescent="0.25">
      <c r="B78" s="684" t="s">
        <v>282</v>
      </c>
      <c r="C78" s="679">
        <v>18600</v>
      </c>
      <c r="D78" s="679">
        <v>19400</v>
      </c>
      <c r="E78" s="679">
        <v>19950</v>
      </c>
      <c r="F78" s="679">
        <v>20750</v>
      </c>
      <c r="G78" s="679">
        <v>21350</v>
      </c>
      <c r="H78" s="679">
        <v>21450</v>
      </c>
      <c r="I78" s="679">
        <v>22950</v>
      </c>
      <c r="J78" s="679">
        <v>23750</v>
      </c>
      <c r="K78" s="679">
        <v>24150</v>
      </c>
      <c r="L78" s="544">
        <v>26800</v>
      </c>
      <c r="M78" s="544">
        <v>28100</v>
      </c>
      <c r="N78" s="544">
        <v>31200</v>
      </c>
      <c r="O78" s="544">
        <v>32200</v>
      </c>
      <c r="P78" s="544">
        <v>32200</v>
      </c>
      <c r="Q78" s="544">
        <v>32200</v>
      </c>
      <c r="R78" s="544">
        <v>32650</v>
      </c>
      <c r="S78" s="544">
        <v>33250</v>
      </c>
      <c r="T78" s="544">
        <v>33250</v>
      </c>
      <c r="U78" s="544">
        <v>33550</v>
      </c>
      <c r="V78" s="680">
        <v>34950</v>
      </c>
      <c r="W78" s="681">
        <v>35150</v>
      </c>
      <c r="X78" s="682">
        <v>35300</v>
      </c>
      <c r="Y78" s="682">
        <v>35750</v>
      </c>
      <c r="Z78" s="682">
        <v>36350</v>
      </c>
      <c r="AA78" s="682">
        <v>36500</v>
      </c>
      <c r="AB78" s="682">
        <v>36400</v>
      </c>
      <c r="AC78" s="683">
        <v>36050</v>
      </c>
      <c r="AD78" s="683">
        <v>37500</v>
      </c>
      <c r="AE78" s="683">
        <v>40800</v>
      </c>
      <c r="AF78" s="683">
        <v>43000</v>
      </c>
      <c r="AG78" s="691">
        <v>43500</v>
      </c>
      <c r="AH78" s="691"/>
    </row>
    <row r="79" spans="2:34" ht="15" x14ac:dyDescent="0.25">
      <c r="B79" s="684" t="s">
        <v>283</v>
      </c>
      <c r="C79" s="679">
        <v>14850</v>
      </c>
      <c r="D79" s="679">
        <v>15900</v>
      </c>
      <c r="E79" s="679">
        <v>16600</v>
      </c>
      <c r="F79" s="679">
        <v>16750</v>
      </c>
      <c r="G79" s="679">
        <v>17200</v>
      </c>
      <c r="H79" s="679">
        <v>17200</v>
      </c>
      <c r="I79" s="679">
        <v>18500</v>
      </c>
      <c r="J79" s="679">
        <v>19600</v>
      </c>
      <c r="K79" s="679">
        <v>20600</v>
      </c>
      <c r="L79" s="544">
        <v>21050</v>
      </c>
      <c r="M79" s="544">
        <v>22650</v>
      </c>
      <c r="N79" s="544">
        <v>24200</v>
      </c>
      <c r="O79" s="544">
        <v>24700</v>
      </c>
      <c r="P79" s="544">
        <v>26200</v>
      </c>
      <c r="Q79" s="544">
        <v>27250</v>
      </c>
      <c r="R79" s="544">
        <v>27250</v>
      </c>
      <c r="S79" s="544">
        <v>27250</v>
      </c>
      <c r="T79" s="544">
        <v>27350</v>
      </c>
      <c r="U79" s="544">
        <v>27550</v>
      </c>
      <c r="V79" s="680">
        <v>28850</v>
      </c>
      <c r="W79" s="681">
        <v>29050</v>
      </c>
      <c r="X79" s="682">
        <v>29250</v>
      </c>
      <c r="Y79" s="682">
        <v>29650</v>
      </c>
      <c r="Z79" s="682">
        <v>29900</v>
      </c>
      <c r="AA79" s="682">
        <v>29900</v>
      </c>
      <c r="AB79" s="682">
        <v>31650</v>
      </c>
      <c r="AC79" s="683">
        <v>31950</v>
      </c>
      <c r="AD79" s="683">
        <v>32750</v>
      </c>
      <c r="AE79" s="683">
        <v>34150</v>
      </c>
      <c r="AF79" s="683">
        <v>35900</v>
      </c>
      <c r="AG79" s="691">
        <v>36250</v>
      </c>
      <c r="AH79" s="691"/>
    </row>
    <row r="80" spans="2:34" ht="15" x14ac:dyDescent="0.25">
      <c r="B80" s="684" t="s">
        <v>284</v>
      </c>
      <c r="C80" s="679">
        <v>15400</v>
      </c>
      <c r="D80" s="679">
        <v>16650</v>
      </c>
      <c r="E80" s="679">
        <v>17550</v>
      </c>
      <c r="F80" s="679">
        <v>16750</v>
      </c>
      <c r="G80" s="679">
        <v>17500</v>
      </c>
      <c r="H80" s="679">
        <v>17500</v>
      </c>
      <c r="I80" s="679">
        <v>18850</v>
      </c>
      <c r="J80" s="679">
        <v>19600</v>
      </c>
      <c r="K80" s="679">
        <v>20600</v>
      </c>
      <c r="L80" s="544">
        <v>21050</v>
      </c>
      <c r="M80" s="544">
        <v>22650</v>
      </c>
      <c r="N80" s="544">
        <v>24350</v>
      </c>
      <c r="O80" s="544">
        <v>25300</v>
      </c>
      <c r="P80" s="544">
        <v>25400</v>
      </c>
      <c r="Q80" s="544">
        <v>25750</v>
      </c>
      <c r="R80" s="544">
        <v>26800</v>
      </c>
      <c r="S80" s="544">
        <v>26800</v>
      </c>
      <c r="T80" s="544">
        <v>26800</v>
      </c>
      <c r="U80" s="544">
        <v>26800</v>
      </c>
      <c r="V80" s="680">
        <v>28300</v>
      </c>
      <c r="W80" s="681">
        <v>28500</v>
      </c>
      <c r="X80" s="682">
        <v>29250</v>
      </c>
      <c r="Y80" s="682">
        <v>29650</v>
      </c>
      <c r="Z80" s="682">
        <v>29900</v>
      </c>
      <c r="AA80" s="682">
        <v>29800</v>
      </c>
      <c r="AB80" s="682">
        <v>30900</v>
      </c>
      <c r="AC80" s="683">
        <v>31650</v>
      </c>
      <c r="AD80" s="683">
        <v>31950</v>
      </c>
      <c r="AE80" s="683">
        <v>33900</v>
      </c>
      <c r="AF80" s="683">
        <v>34700</v>
      </c>
      <c r="AG80" s="691">
        <v>36250</v>
      </c>
      <c r="AH80" s="691"/>
    </row>
    <row r="81" spans="2:34" ht="15" x14ac:dyDescent="0.25">
      <c r="B81" s="684" t="s">
        <v>285</v>
      </c>
      <c r="C81" s="679">
        <v>15400</v>
      </c>
      <c r="D81" s="679">
        <v>16700</v>
      </c>
      <c r="E81" s="679">
        <v>17200</v>
      </c>
      <c r="F81" s="679">
        <v>17450</v>
      </c>
      <c r="G81" s="679">
        <v>18250</v>
      </c>
      <c r="H81" s="679">
        <v>18500</v>
      </c>
      <c r="I81" s="679">
        <v>19700</v>
      </c>
      <c r="J81" s="679">
        <v>20850</v>
      </c>
      <c r="K81" s="679">
        <v>22500</v>
      </c>
      <c r="L81" s="544">
        <v>23000</v>
      </c>
      <c r="M81" s="544">
        <v>24050</v>
      </c>
      <c r="N81" s="544">
        <v>25950</v>
      </c>
      <c r="O81" s="544">
        <v>26150</v>
      </c>
      <c r="P81" s="544">
        <v>26150</v>
      </c>
      <c r="Q81" s="544">
        <v>26300</v>
      </c>
      <c r="R81" s="544">
        <v>27550</v>
      </c>
      <c r="S81" s="544">
        <v>27850</v>
      </c>
      <c r="T81" s="544">
        <v>27850</v>
      </c>
      <c r="U81" s="544">
        <v>27850</v>
      </c>
      <c r="V81" s="680">
        <v>29400</v>
      </c>
      <c r="W81" s="681">
        <v>29200</v>
      </c>
      <c r="X81" s="682">
        <v>29400</v>
      </c>
      <c r="Y81" s="682">
        <v>29800</v>
      </c>
      <c r="Z81" s="682">
        <v>29900</v>
      </c>
      <c r="AA81" s="682">
        <v>29800</v>
      </c>
      <c r="AB81" s="682">
        <v>30900</v>
      </c>
      <c r="AC81" s="683">
        <v>31650</v>
      </c>
      <c r="AD81" s="683">
        <v>31950</v>
      </c>
      <c r="AE81" s="683">
        <v>33900</v>
      </c>
      <c r="AF81" s="683">
        <v>34750</v>
      </c>
      <c r="AG81" s="691">
        <v>37500</v>
      </c>
      <c r="AH81" s="691"/>
    </row>
    <row r="82" spans="2:34" ht="15" x14ac:dyDescent="0.25">
      <c r="B82" s="684" t="s">
        <v>286</v>
      </c>
      <c r="C82" s="679">
        <v>14600</v>
      </c>
      <c r="D82" s="679">
        <v>15550</v>
      </c>
      <c r="E82" s="679">
        <v>16000</v>
      </c>
      <c r="F82" s="679">
        <v>16050</v>
      </c>
      <c r="G82" s="679">
        <v>16300</v>
      </c>
      <c r="H82" s="679">
        <v>16300</v>
      </c>
      <c r="I82" s="679">
        <v>17150</v>
      </c>
      <c r="J82" s="679">
        <v>18050</v>
      </c>
      <c r="K82" s="679">
        <v>19100</v>
      </c>
      <c r="L82" s="544">
        <v>19350</v>
      </c>
      <c r="M82" s="544">
        <v>20550</v>
      </c>
      <c r="N82" s="544">
        <v>21600</v>
      </c>
      <c r="O82" s="544">
        <v>22100</v>
      </c>
      <c r="P82" s="544">
        <v>22450</v>
      </c>
      <c r="Q82" s="544">
        <v>23800</v>
      </c>
      <c r="R82" s="544">
        <v>24050</v>
      </c>
      <c r="S82" s="544">
        <v>24900</v>
      </c>
      <c r="T82" s="544">
        <v>24900</v>
      </c>
      <c r="U82" s="544">
        <v>25050</v>
      </c>
      <c r="V82" s="680">
        <v>26150</v>
      </c>
      <c r="W82" s="681">
        <v>26400</v>
      </c>
      <c r="X82" s="682">
        <v>26850</v>
      </c>
      <c r="Y82" s="682">
        <v>27200</v>
      </c>
      <c r="Z82" s="682">
        <v>27600</v>
      </c>
      <c r="AA82" s="682">
        <v>27400</v>
      </c>
      <c r="AB82" s="682">
        <v>28700</v>
      </c>
      <c r="AC82" s="683">
        <v>28650</v>
      </c>
      <c r="AD82" s="683">
        <v>30150</v>
      </c>
      <c r="AE82" s="683">
        <v>30550</v>
      </c>
      <c r="AF82" s="683">
        <v>30750</v>
      </c>
      <c r="AG82" s="691">
        <v>32300</v>
      </c>
      <c r="AH82" s="691"/>
    </row>
    <row r="83" spans="2:34" ht="15" x14ac:dyDescent="0.25">
      <c r="B83" s="684" t="s">
        <v>287</v>
      </c>
      <c r="C83" s="679">
        <v>14600</v>
      </c>
      <c r="D83" s="679">
        <v>15550</v>
      </c>
      <c r="E83" s="679">
        <v>16000</v>
      </c>
      <c r="F83" s="679">
        <v>16050</v>
      </c>
      <c r="G83" s="679">
        <v>16300</v>
      </c>
      <c r="H83" s="679">
        <v>16300</v>
      </c>
      <c r="I83" s="679">
        <v>17150</v>
      </c>
      <c r="J83" s="679">
        <v>18050</v>
      </c>
      <c r="K83" s="679">
        <v>19100</v>
      </c>
      <c r="L83" s="544">
        <v>19350</v>
      </c>
      <c r="M83" s="544">
        <v>20550</v>
      </c>
      <c r="N83" s="544">
        <v>21600</v>
      </c>
      <c r="O83" s="544">
        <v>22100</v>
      </c>
      <c r="P83" s="544">
        <v>22450</v>
      </c>
      <c r="Q83" s="544">
        <v>23800</v>
      </c>
      <c r="R83" s="544">
        <v>24050</v>
      </c>
      <c r="S83" s="544">
        <v>24900</v>
      </c>
      <c r="T83" s="544">
        <v>24900</v>
      </c>
      <c r="U83" s="544">
        <v>25050</v>
      </c>
      <c r="V83" s="680">
        <v>26150</v>
      </c>
      <c r="W83" s="681">
        <v>26400</v>
      </c>
      <c r="X83" s="682">
        <v>26850</v>
      </c>
      <c r="Y83" s="682">
        <v>27200</v>
      </c>
      <c r="Z83" s="682">
        <v>27600</v>
      </c>
      <c r="AA83" s="682">
        <v>27400</v>
      </c>
      <c r="AB83" s="682">
        <v>28700</v>
      </c>
      <c r="AC83" s="683">
        <v>28650</v>
      </c>
      <c r="AD83" s="683">
        <v>30150</v>
      </c>
      <c r="AE83" s="683">
        <v>30550</v>
      </c>
      <c r="AF83" s="683">
        <v>31200</v>
      </c>
      <c r="AG83" s="691">
        <v>32300</v>
      </c>
      <c r="AH83" s="691"/>
    </row>
    <row r="84" spans="2:34" ht="15" x14ac:dyDescent="0.25">
      <c r="B84" s="684" t="s">
        <v>288</v>
      </c>
      <c r="C84" s="679">
        <v>15300</v>
      </c>
      <c r="D84" s="679">
        <v>16350</v>
      </c>
      <c r="E84" s="679">
        <v>16550</v>
      </c>
      <c r="F84" s="679">
        <v>16050</v>
      </c>
      <c r="G84" s="679">
        <v>16300</v>
      </c>
      <c r="H84" s="679">
        <v>16300</v>
      </c>
      <c r="I84" s="679">
        <v>17150</v>
      </c>
      <c r="J84" s="679">
        <v>18050</v>
      </c>
      <c r="K84" s="679">
        <v>19100</v>
      </c>
      <c r="L84" s="544">
        <v>19350</v>
      </c>
      <c r="M84" s="544">
        <v>20550</v>
      </c>
      <c r="N84" s="544">
        <v>21600</v>
      </c>
      <c r="O84" s="544">
        <v>22100</v>
      </c>
      <c r="P84" s="544">
        <v>22450</v>
      </c>
      <c r="Q84" s="544">
        <v>23950</v>
      </c>
      <c r="R84" s="544">
        <v>24050</v>
      </c>
      <c r="S84" s="544">
        <v>24900</v>
      </c>
      <c r="T84" s="544">
        <v>24900</v>
      </c>
      <c r="U84" s="544">
        <v>25050</v>
      </c>
      <c r="V84" s="680">
        <v>26150</v>
      </c>
      <c r="W84" s="681">
        <v>26400</v>
      </c>
      <c r="X84" s="682">
        <v>27700</v>
      </c>
      <c r="Y84" s="682">
        <v>29050</v>
      </c>
      <c r="Z84" s="682">
        <v>28100</v>
      </c>
      <c r="AA84" s="682">
        <v>28400</v>
      </c>
      <c r="AB84" s="682">
        <v>30050</v>
      </c>
      <c r="AC84" s="683">
        <v>28900</v>
      </c>
      <c r="AD84" s="683">
        <v>30150</v>
      </c>
      <c r="AE84" s="683">
        <v>30550</v>
      </c>
      <c r="AF84" s="683">
        <v>30750</v>
      </c>
      <c r="AG84" s="691">
        <v>32300</v>
      </c>
      <c r="AH84" s="691"/>
    </row>
    <row r="85" spans="2:34" ht="15" x14ac:dyDescent="0.25">
      <c r="B85" s="684" t="s">
        <v>289</v>
      </c>
      <c r="C85" s="679">
        <v>14850</v>
      </c>
      <c r="D85" s="679">
        <v>15550</v>
      </c>
      <c r="E85" s="679">
        <v>16200</v>
      </c>
      <c r="F85" s="679">
        <v>16050</v>
      </c>
      <c r="G85" s="679">
        <v>16300</v>
      </c>
      <c r="H85" s="679">
        <v>16300</v>
      </c>
      <c r="I85" s="679">
        <v>17150</v>
      </c>
      <c r="J85" s="679">
        <v>18050</v>
      </c>
      <c r="K85" s="679">
        <v>19100</v>
      </c>
      <c r="L85" s="544">
        <v>19350</v>
      </c>
      <c r="M85" s="544">
        <v>20550</v>
      </c>
      <c r="N85" s="544">
        <v>21600</v>
      </c>
      <c r="O85" s="544">
        <v>22100</v>
      </c>
      <c r="P85" s="544">
        <v>22450</v>
      </c>
      <c r="Q85" s="544">
        <v>23800</v>
      </c>
      <c r="R85" s="544">
        <v>24050</v>
      </c>
      <c r="S85" s="544">
        <v>24900</v>
      </c>
      <c r="T85" s="544">
        <v>24900</v>
      </c>
      <c r="U85" s="544">
        <v>25050</v>
      </c>
      <c r="V85" s="680">
        <v>26150</v>
      </c>
      <c r="W85" s="681">
        <v>26400</v>
      </c>
      <c r="X85" s="682">
        <v>26850</v>
      </c>
      <c r="Y85" s="682">
        <v>27200</v>
      </c>
      <c r="Z85" s="682">
        <v>27600</v>
      </c>
      <c r="AA85" s="682">
        <v>27400</v>
      </c>
      <c r="AB85" s="682">
        <v>28700</v>
      </c>
      <c r="AC85" s="683">
        <v>28750</v>
      </c>
      <c r="AD85" s="683">
        <v>30150</v>
      </c>
      <c r="AE85" s="683">
        <v>33000</v>
      </c>
      <c r="AF85" s="683">
        <v>32950</v>
      </c>
      <c r="AG85" s="691">
        <v>35550</v>
      </c>
      <c r="AH85" s="691"/>
    </row>
    <row r="86" spans="2:34" ht="15" x14ac:dyDescent="0.25">
      <c r="B86" s="684" t="s">
        <v>290</v>
      </c>
      <c r="C86" s="679">
        <v>16100</v>
      </c>
      <c r="D86" s="679">
        <v>16650</v>
      </c>
      <c r="E86" s="679">
        <v>17550</v>
      </c>
      <c r="F86" s="679">
        <v>16600</v>
      </c>
      <c r="G86" s="679">
        <v>16300</v>
      </c>
      <c r="H86" s="679">
        <v>16300</v>
      </c>
      <c r="I86" s="679">
        <v>17400</v>
      </c>
      <c r="J86" s="679">
        <v>18150</v>
      </c>
      <c r="K86" s="679">
        <v>19100</v>
      </c>
      <c r="L86" s="544">
        <v>19350</v>
      </c>
      <c r="M86" s="544">
        <v>20550</v>
      </c>
      <c r="N86" s="544">
        <v>21650</v>
      </c>
      <c r="O86" s="544">
        <v>22100</v>
      </c>
      <c r="P86" s="544">
        <v>22450</v>
      </c>
      <c r="Q86" s="544">
        <v>23800</v>
      </c>
      <c r="R86" s="544">
        <v>24050</v>
      </c>
      <c r="S86" s="544">
        <v>24900</v>
      </c>
      <c r="T86" s="544">
        <v>24900</v>
      </c>
      <c r="U86" s="544">
        <v>25050</v>
      </c>
      <c r="V86" s="680">
        <v>26150</v>
      </c>
      <c r="W86" s="681">
        <v>26400</v>
      </c>
      <c r="X86" s="682">
        <v>26850</v>
      </c>
      <c r="Y86" s="682">
        <v>27200</v>
      </c>
      <c r="Z86" s="682">
        <v>27600</v>
      </c>
      <c r="AA86" s="682">
        <v>28800</v>
      </c>
      <c r="AB86" s="682">
        <v>30250</v>
      </c>
      <c r="AC86" s="683">
        <v>28850</v>
      </c>
      <c r="AD86" s="683">
        <v>30150</v>
      </c>
      <c r="AE86" s="683">
        <v>30850</v>
      </c>
      <c r="AF86" s="683">
        <v>31550</v>
      </c>
      <c r="AG86" s="691">
        <v>33050</v>
      </c>
      <c r="AH86" s="691"/>
    </row>
    <row r="87" spans="2:34" ht="15" x14ac:dyDescent="0.25">
      <c r="B87" s="684" t="s">
        <v>291</v>
      </c>
      <c r="C87" s="679">
        <v>14600</v>
      </c>
      <c r="D87" s="679">
        <v>15550</v>
      </c>
      <c r="E87" s="679">
        <v>16000</v>
      </c>
      <c r="F87" s="679">
        <v>16050</v>
      </c>
      <c r="G87" s="679">
        <v>16300</v>
      </c>
      <c r="H87" s="679">
        <v>16300</v>
      </c>
      <c r="I87" s="679">
        <v>17150</v>
      </c>
      <c r="J87" s="679">
        <v>18050</v>
      </c>
      <c r="K87" s="679">
        <v>19100</v>
      </c>
      <c r="L87" s="544">
        <v>19350</v>
      </c>
      <c r="M87" s="544">
        <v>20550</v>
      </c>
      <c r="N87" s="544">
        <v>22100</v>
      </c>
      <c r="O87" s="544">
        <v>22100</v>
      </c>
      <c r="P87" s="544">
        <v>22450</v>
      </c>
      <c r="Q87" s="544">
        <v>23800</v>
      </c>
      <c r="R87" s="544">
        <v>24050</v>
      </c>
      <c r="S87" s="544">
        <v>24900</v>
      </c>
      <c r="T87" s="544">
        <v>24900</v>
      </c>
      <c r="U87" s="544">
        <v>25050</v>
      </c>
      <c r="V87" s="680">
        <v>26150</v>
      </c>
      <c r="W87" s="681">
        <v>26400</v>
      </c>
      <c r="X87" s="682">
        <v>26850</v>
      </c>
      <c r="Y87" s="682">
        <v>27200</v>
      </c>
      <c r="Z87" s="682">
        <v>27600</v>
      </c>
      <c r="AA87" s="682">
        <v>27400</v>
      </c>
      <c r="AB87" s="682">
        <v>28700</v>
      </c>
      <c r="AC87" s="683">
        <v>28650</v>
      </c>
      <c r="AD87" s="683">
        <v>30150</v>
      </c>
      <c r="AE87" s="683">
        <v>30550</v>
      </c>
      <c r="AF87" s="683">
        <v>30750</v>
      </c>
      <c r="AG87" s="691">
        <v>32300</v>
      </c>
      <c r="AH87" s="691"/>
    </row>
    <row r="88" spans="2:34" ht="15" x14ac:dyDescent="0.25">
      <c r="B88" s="684" t="s">
        <v>292</v>
      </c>
      <c r="C88" s="679">
        <v>14600</v>
      </c>
      <c r="D88" s="679">
        <v>15550</v>
      </c>
      <c r="E88" s="679">
        <v>16000</v>
      </c>
      <c r="F88" s="679">
        <v>16050</v>
      </c>
      <c r="G88" s="679">
        <v>16300</v>
      </c>
      <c r="H88" s="679">
        <v>16300</v>
      </c>
      <c r="I88" s="679">
        <v>17150</v>
      </c>
      <c r="J88" s="679">
        <v>18050</v>
      </c>
      <c r="K88" s="679">
        <v>19100</v>
      </c>
      <c r="L88" s="544">
        <v>19350</v>
      </c>
      <c r="M88" s="544">
        <v>20550</v>
      </c>
      <c r="N88" s="544">
        <v>21600</v>
      </c>
      <c r="O88" s="544">
        <v>22100</v>
      </c>
      <c r="P88" s="544">
        <v>22450</v>
      </c>
      <c r="Q88" s="544">
        <v>23800</v>
      </c>
      <c r="R88" s="544">
        <v>24050</v>
      </c>
      <c r="S88" s="544">
        <v>24900</v>
      </c>
      <c r="T88" s="544">
        <v>24900</v>
      </c>
      <c r="U88" s="544">
        <v>25050</v>
      </c>
      <c r="V88" s="680">
        <v>26150</v>
      </c>
      <c r="W88" s="681">
        <v>26400</v>
      </c>
      <c r="X88" s="682">
        <v>26850</v>
      </c>
      <c r="Y88" s="682">
        <v>27200</v>
      </c>
      <c r="Z88" s="682">
        <v>27600</v>
      </c>
      <c r="AA88" s="682">
        <v>27400</v>
      </c>
      <c r="AB88" s="682">
        <v>28700</v>
      </c>
      <c r="AC88" s="683">
        <v>28650</v>
      </c>
      <c r="AD88" s="683">
        <v>30150</v>
      </c>
      <c r="AE88" s="683">
        <v>30550</v>
      </c>
      <c r="AF88" s="683">
        <v>30750</v>
      </c>
      <c r="AG88" s="691">
        <v>32300</v>
      </c>
      <c r="AH88" s="691"/>
    </row>
    <row r="89" spans="2:34" ht="15" x14ac:dyDescent="0.25">
      <c r="B89" s="684" t="s">
        <v>293</v>
      </c>
      <c r="C89" s="679">
        <v>20100</v>
      </c>
      <c r="D89" s="679">
        <v>21450</v>
      </c>
      <c r="E89" s="679">
        <v>22450</v>
      </c>
      <c r="F89" s="679">
        <v>20600</v>
      </c>
      <c r="G89" s="679">
        <v>21200</v>
      </c>
      <c r="H89" s="679">
        <v>21200</v>
      </c>
      <c r="I89" s="679">
        <v>22250</v>
      </c>
      <c r="J89" s="679">
        <v>22900</v>
      </c>
      <c r="K89" s="679">
        <v>24500</v>
      </c>
      <c r="L89" s="544">
        <v>25000</v>
      </c>
      <c r="M89" s="544">
        <v>25300</v>
      </c>
      <c r="N89" s="544">
        <v>29500</v>
      </c>
      <c r="O89" s="544">
        <v>29500</v>
      </c>
      <c r="P89" s="544">
        <v>29500</v>
      </c>
      <c r="Q89" s="544">
        <v>29500</v>
      </c>
      <c r="R89" s="544">
        <v>29500</v>
      </c>
      <c r="S89" s="544">
        <v>30600</v>
      </c>
      <c r="T89" s="544">
        <v>30600</v>
      </c>
      <c r="U89" s="544">
        <v>30600</v>
      </c>
      <c r="V89" s="680">
        <v>31450</v>
      </c>
      <c r="W89" s="681">
        <v>31850</v>
      </c>
      <c r="X89" s="682">
        <v>32050</v>
      </c>
      <c r="Y89" s="682">
        <v>32500</v>
      </c>
      <c r="Z89" s="682">
        <v>31600</v>
      </c>
      <c r="AA89" s="682">
        <v>32950</v>
      </c>
      <c r="AB89" s="682">
        <v>31350</v>
      </c>
      <c r="AC89" s="683">
        <v>32600</v>
      </c>
      <c r="AD89" s="683">
        <v>33200</v>
      </c>
      <c r="AE89" s="683">
        <v>34700</v>
      </c>
      <c r="AF89" s="683">
        <v>36450</v>
      </c>
      <c r="AG89" s="691">
        <v>36300</v>
      </c>
      <c r="AH89" s="691"/>
    </row>
    <row r="90" spans="2:34" ht="15" x14ac:dyDescent="0.25">
      <c r="B90" s="684" t="s">
        <v>294</v>
      </c>
      <c r="C90" s="679">
        <v>15050</v>
      </c>
      <c r="D90" s="679">
        <v>16100</v>
      </c>
      <c r="E90" s="679">
        <v>16100</v>
      </c>
      <c r="F90" s="679">
        <v>16050</v>
      </c>
      <c r="G90" s="679">
        <v>16300</v>
      </c>
      <c r="H90" s="679">
        <v>16300</v>
      </c>
      <c r="I90" s="679">
        <v>17150</v>
      </c>
      <c r="J90" s="679">
        <v>18050</v>
      </c>
      <c r="K90" s="679">
        <v>19100</v>
      </c>
      <c r="L90" s="544">
        <v>19350</v>
      </c>
      <c r="M90" s="544">
        <v>20550</v>
      </c>
      <c r="N90" s="544">
        <v>21600</v>
      </c>
      <c r="O90" s="544">
        <v>22100</v>
      </c>
      <c r="P90" s="544">
        <v>22450</v>
      </c>
      <c r="Q90" s="544">
        <v>23800</v>
      </c>
      <c r="R90" s="544">
        <v>24050</v>
      </c>
      <c r="S90" s="544">
        <v>24900</v>
      </c>
      <c r="T90" s="544">
        <v>24900</v>
      </c>
      <c r="U90" s="544">
        <v>25050</v>
      </c>
      <c r="V90" s="680">
        <v>26150</v>
      </c>
      <c r="W90" s="681">
        <v>26400</v>
      </c>
      <c r="X90" s="682">
        <v>27700</v>
      </c>
      <c r="Y90" s="682">
        <v>29050</v>
      </c>
      <c r="Z90" s="682">
        <v>29000</v>
      </c>
      <c r="AA90" s="682">
        <v>27750</v>
      </c>
      <c r="AB90" s="682">
        <v>28700</v>
      </c>
      <c r="AC90" s="683">
        <v>28900</v>
      </c>
      <c r="AD90" s="683">
        <v>30400</v>
      </c>
      <c r="AE90" s="683">
        <v>31150</v>
      </c>
      <c r="AF90" s="683">
        <v>32850</v>
      </c>
      <c r="AG90" s="691">
        <v>32600</v>
      </c>
      <c r="AH90" s="691"/>
    </row>
    <row r="91" spans="2:34" ht="15" x14ac:dyDescent="0.25">
      <c r="B91" s="684" t="s">
        <v>295</v>
      </c>
      <c r="C91" s="679">
        <v>14600</v>
      </c>
      <c r="D91" s="679">
        <v>15550</v>
      </c>
      <c r="E91" s="679">
        <v>16000</v>
      </c>
      <c r="F91" s="679">
        <v>16050</v>
      </c>
      <c r="G91" s="679">
        <v>16300</v>
      </c>
      <c r="H91" s="679">
        <v>16300</v>
      </c>
      <c r="I91" s="679">
        <v>17150</v>
      </c>
      <c r="J91" s="679">
        <v>18050</v>
      </c>
      <c r="K91" s="679">
        <v>19100</v>
      </c>
      <c r="L91" s="544">
        <v>19350</v>
      </c>
      <c r="M91" s="544">
        <v>20550</v>
      </c>
      <c r="N91" s="544">
        <v>21600</v>
      </c>
      <c r="O91" s="544">
        <v>22100</v>
      </c>
      <c r="P91" s="544">
        <v>22450</v>
      </c>
      <c r="Q91" s="544">
        <v>23800</v>
      </c>
      <c r="R91" s="544">
        <v>24050</v>
      </c>
      <c r="S91" s="544">
        <v>24900</v>
      </c>
      <c r="T91" s="544">
        <v>24900</v>
      </c>
      <c r="U91" s="544">
        <v>25050</v>
      </c>
      <c r="V91" s="680">
        <v>26150</v>
      </c>
      <c r="W91" s="681">
        <v>26400</v>
      </c>
      <c r="X91" s="682">
        <v>26850</v>
      </c>
      <c r="Y91" s="682">
        <v>27200</v>
      </c>
      <c r="Z91" s="682">
        <v>27600</v>
      </c>
      <c r="AA91" s="682">
        <v>27400</v>
      </c>
      <c r="AB91" s="682">
        <v>28700</v>
      </c>
      <c r="AC91" s="683">
        <v>28650</v>
      </c>
      <c r="AD91" s="683">
        <v>30150</v>
      </c>
      <c r="AE91" s="683">
        <v>30550</v>
      </c>
      <c r="AF91" s="683">
        <v>30750</v>
      </c>
      <c r="AG91" s="691">
        <v>32300</v>
      </c>
      <c r="AH91" s="691"/>
    </row>
    <row r="92" spans="2:34" ht="15" x14ac:dyDescent="0.25">
      <c r="B92" s="684" t="s">
        <v>296</v>
      </c>
      <c r="C92" s="679">
        <v>14600</v>
      </c>
      <c r="D92" s="679">
        <v>15550</v>
      </c>
      <c r="E92" s="679">
        <v>16000</v>
      </c>
      <c r="F92" s="679">
        <v>16050</v>
      </c>
      <c r="G92" s="679">
        <v>16300</v>
      </c>
      <c r="H92" s="679">
        <v>16300</v>
      </c>
      <c r="I92" s="679">
        <v>17150</v>
      </c>
      <c r="J92" s="679">
        <v>18050</v>
      </c>
      <c r="K92" s="679">
        <v>19100</v>
      </c>
      <c r="L92" s="544">
        <v>19350</v>
      </c>
      <c r="M92" s="544">
        <v>20550</v>
      </c>
      <c r="N92" s="544">
        <v>21600</v>
      </c>
      <c r="O92" s="544">
        <v>22100</v>
      </c>
      <c r="P92" s="544">
        <v>22450</v>
      </c>
      <c r="Q92" s="544">
        <v>23800</v>
      </c>
      <c r="R92" s="544">
        <v>24050</v>
      </c>
      <c r="S92" s="544">
        <v>24900</v>
      </c>
      <c r="T92" s="544">
        <v>24900</v>
      </c>
      <c r="U92" s="544">
        <v>25050</v>
      </c>
      <c r="V92" s="680">
        <v>26150</v>
      </c>
      <c r="W92" s="681">
        <v>26400</v>
      </c>
      <c r="X92" s="682">
        <v>26850</v>
      </c>
      <c r="Y92" s="682">
        <v>27200</v>
      </c>
      <c r="Z92" s="682">
        <v>27600</v>
      </c>
      <c r="AA92" s="682">
        <v>27400</v>
      </c>
      <c r="AB92" s="682">
        <v>28700</v>
      </c>
      <c r="AC92" s="683">
        <v>28650</v>
      </c>
      <c r="AD92" s="683">
        <v>30150</v>
      </c>
      <c r="AE92" s="683">
        <v>30550</v>
      </c>
      <c r="AF92" s="683">
        <v>30750</v>
      </c>
      <c r="AG92" s="691">
        <v>32300</v>
      </c>
      <c r="AH92" s="691"/>
    </row>
    <row r="93" spans="2:34" ht="15" x14ac:dyDescent="0.25">
      <c r="B93" s="684" t="s">
        <v>297</v>
      </c>
      <c r="C93" s="679">
        <v>14600</v>
      </c>
      <c r="D93" s="679">
        <v>15550</v>
      </c>
      <c r="E93" s="679">
        <v>16000</v>
      </c>
      <c r="F93" s="679">
        <v>16050</v>
      </c>
      <c r="G93" s="679">
        <v>16300</v>
      </c>
      <c r="H93" s="679">
        <v>16300</v>
      </c>
      <c r="I93" s="679">
        <v>17150</v>
      </c>
      <c r="J93" s="679">
        <v>18050</v>
      </c>
      <c r="K93" s="679">
        <v>19100</v>
      </c>
      <c r="L93" s="544">
        <v>19350</v>
      </c>
      <c r="M93" s="544">
        <v>20550</v>
      </c>
      <c r="N93" s="544">
        <v>21600</v>
      </c>
      <c r="O93" s="544">
        <v>22300</v>
      </c>
      <c r="P93" s="544">
        <v>22450</v>
      </c>
      <c r="Q93" s="544">
        <v>23800</v>
      </c>
      <c r="R93" s="544">
        <v>24050</v>
      </c>
      <c r="S93" s="544">
        <v>24900</v>
      </c>
      <c r="T93" s="544">
        <v>24900</v>
      </c>
      <c r="U93" s="544">
        <v>25050</v>
      </c>
      <c r="V93" s="680">
        <v>26150</v>
      </c>
      <c r="W93" s="681">
        <v>26400</v>
      </c>
      <c r="X93" s="682">
        <v>26850</v>
      </c>
      <c r="Y93" s="682">
        <v>27200</v>
      </c>
      <c r="Z93" s="682">
        <v>27600</v>
      </c>
      <c r="AA93" s="682">
        <v>27400</v>
      </c>
      <c r="AB93" s="682">
        <v>28700</v>
      </c>
      <c r="AC93" s="683">
        <v>28650</v>
      </c>
      <c r="AD93" s="683">
        <v>30150</v>
      </c>
      <c r="AE93" s="683">
        <v>31750</v>
      </c>
      <c r="AF93" s="683">
        <v>32300</v>
      </c>
      <c r="AG93" s="691">
        <v>32300</v>
      </c>
      <c r="AH93" s="691"/>
    </row>
    <row r="94" spans="2:34" ht="15" x14ac:dyDescent="0.25">
      <c r="B94" s="684" t="s">
        <v>298</v>
      </c>
      <c r="C94" s="679">
        <v>14600</v>
      </c>
      <c r="D94" s="679">
        <v>15700</v>
      </c>
      <c r="E94" s="679">
        <v>16100</v>
      </c>
      <c r="F94" s="679">
        <v>16050</v>
      </c>
      <c r="G94" s="679">
        <v>16300</v>
      </c>
      <c r="H94" s="679">
        <v>16300</v>
      </c>
      <c r="I94" s="679">
        <v>17150</v>
      </c>
      <c r="J94" s="679">
        <v>18050</v>
      </c>
      <c r="K94" s="679">
        <v>19100</v>
      </c>
      <c r="L94" s="544">
        <v>19350</v>
      </c>
      <c r="M94" s="544">
        <v>20550</v>
      </c>
      <c r="N94" s="544">
        <v>22400</v>
      </c>
      <c r="O94" s="544">
        <v>22800</v>
      </c>
      <c r="P94" s="544">
        <v>22800</v>
      </c>
      <c r="Q94" s="544">
        <v>23800</v>
      </c>
      <c r="R94" s="544">
        <v>24050</v>
      </c>
      <c r="S94" s="544">
        <v>24900</v>
      </c>
      <c r="T94" s="544">
        <v>24900</v>
      </c>
      <c r="U94" s="544">
        <v>25050</v>
      </c>
      <c r="V94" s="680">
        <v>26150</v>
      </c>
      <c r="W94" s="681">
        <v>26400</v>
      </c>
      <c r="X94" s="682">
        <v>27700</v>
      </c>
      <c r="Y94" s="682">
        <v>29050</v>
      </c>
      <c r="Z94" s="682">
        <v>30500</v>
      </c>
      <c r="AA94" s="682">
        <v>32000</v>
      </c>
      <c r="AB94" s="682">
        <v>30400</v>
      </c>
      <c r="AC94" s="683">
        <v>28900</v>
      </c>
      <c r="AD94" s="683">
        <v>30500</v>
      </c>
      <c r="AE94" s="683">
        <v>30550</v>
      </c>
      <c r="AF94" s="683">
        <v>30850</v>
      </c>
      <c r="AG94" s="691">
        <v>32300</v>
      </c>
      <c r="AH94" s="691"/>
    </row>
    <row r="95" spans="2:34" ht="15" x14ac:dyDescent="0.25">
      <c r="B95" s="684" t="s">
        <v>299</v>
      </c>
      <c r="C95" s="679">
        <v>14600</v>
      </c>
      <c r="D95" s="679">
        <v>15550</v>
      </c>
      <c r="E95" s="679">
        <v>16000</v>
      </c>
      <c r="F95" s="679">
        <v>16050</v>
      </c>
      <c r="G95" s="679">
        <v>16300</v>
      </c>
      <c r="H95" s="679">
        <v>16300</v>
      </c>
      <c r="I95" s="679">
        <v>17150</v>
      </c>
      <c r="J95" s="679">
        <v>18050</v>
      </c>
      <c r="K95" s="679">
        <v>19100</v>
      </c>
      <c r="L95" s="544">
        <v>19350</v>
      </c>
      <c r="M95" s="544">
        <v>20550</v>
      </c>
      <c r="N95" s="544">
        <v>21600</v>
      </c>
      <c r="O95" s="544">
        <v>22100</v>
      </c>
      <c r="P95" s="544">
        <v>22450</v>
      </c>
      <c r="Q95" s="544">
        <v>23800</v>
      </c>
      <c r="R95" s="544">
        <v>24050</v>
      </c>
      <c r="S95" s="544">
        <v>24900</v>
      </c>
      <c r="T95" s="544">
        <v>24900</v>
      </c>
      <c r="U95" s="544">
        <v>25050</v>
      </c>
      <c r="V95" s="680">
        <v>26150</v>
      </c>
      <c r="W95" s="681">
        <v>26400</v>
      </c>
      <c r="X95" s="682">
        <v>27700</v>
      </c>
      <c r="Y95" s="682">
        <v>29050</v>
      </c>
      <c r="Z95" s="682">
        <v>29850</v>
      </c>
      <c r="AA95" s="682">
        <v>28850</v>
      </c>
      <c r="AB95" s="682">
        <v>29600</v>
      </c>
      <c r="AC95" s="683">
        <v>29350</v>
      </c>
      <c r="AD95" s="683">
        <v>31400</v>
      </c>
      <c r="AE95" s="683">
        <v>33000</v>
      </c>
      <c r="AF95" s="683">
        <v>33650</v>
      </c>
      <c r="AG95" s="691">
        <v>33900</v>
      </c>
      <c r="AH95" s="691"/>
    </row>
    <row r="96" spans="2:34" ht="15" x14ac:dyDescent="0.25">
      <c r="B96" s="684" t="s">
        <v>300</v>
      </c>
      <c r="C96" s="679">
        <v>14600</v>
      </c>
      <c r="D96" s="679">
        <v>15550</v>
      </c>
      <c r="E96" s="679">
        <v>16000</v>
      </c>
      <c r="F96" s="679">
        <v>16050</v>
      </c>
      <c r="G96" s="679">
        <v>16300</v>
      </c>
      <c r="H96" s="679">
        <v>16300</v>
      </c>
      <c r="I96" s="679">
        <v>17150</v>
      </c>
      <c r="J96" s="679">
        <v>18050</v>
      </c>
      <c r="K96" s="679">
        <v>19100</v>
      </c>
      <c r="L96" s="544">
        <v>19350</v>
      </c>
      <c r="M96" s="544">
        <v>20550</v>
      </c>
      <c r="N96" s="544">
        <v>21600</v>
      </c>
      <c r="O96" s="544">
        <v>22100</v>
      </c>
      <c r="P96" s="544">
        <v>22450</v>
      </c>
      <c r="Q96" s="544">
        <v>23800</v>
      </c>
      <c r="R96" s="544">
        <v>24050</v>
      </c>
      <c r="S96" s="544">
        <v>24900</v>
      </c>
      <c r="T96" s="544">
        <v>24900</v>
      </c>
      <c r="U96" s="544">
        <v>25050</v>
      </c>
      <c r="V96" s="680">
        <v>26150</v>
      </c>
      <c r="W96" s="681">
        <v>26400</v>
      </c>
      <c r="X96" s="682">
        <v>26850</v>
      </c>
      <c r="Y96" s="682">
        <v>27200</v>
      </c>
      <c r="Z96" s="682">
        <v>27600</v>
      </c>
      <c r="AA96" s="682">
        <v>27400</v>
      </c>
      <c r="AB96" s="682">
        <v>28700</v>
      </c>
      <c r="AC96" s="683">
        <v>28650</v>
      </c>
      <c r="AD96" s="683">
        <v>30150</v>
      </c>
      <c r="AE96" s="683">
        <v>30550</v>
      </c>
      <c r="AF96" s="683">
        <v>30750</v>
      </c>
      <c r="AG96" s="691">
        <v>32300</v>
      </c>
      <c r="AH96" s="691"/>
    </row>
    <row r="97" spans="2:34" ht="15" x14ac:dyDescent="0.25">
      <c r="B97" s="684" t="s">
        <v>301</v>
      </c>
      <c r="C97" s="679">
        <v>14600</v>
      </c>
      <c r="D97" s="679">
        <v>15600</v>
      </c>
      <c r="E97" s="679">
        <v>16000</v>
      </c>
      <c r="F97" s="679">
        <v>16050</v>
      </c>
      <c r="G97" s="679">
        <v>16300</v>
      </c>
      <c r="H97" s="679">
        <v>16600</v>
      </c>
      <c r="I97" s="679">
        <v>17750</v>
      </c>
      <c r="J97" s="679">
        <v>18150</v>
      </c>
      <c r="K97" s="679">
        <v>19100</v>
      </c>
      <c r="L97" s="544">
        <v>19350</v>
      </c>
      <c r="M97" s="544">
        <v>20550</v>
      </c>
      <c r="N97" s="544">
        <v>21950</v>
      </c>
      <c r="O97" s="544">
        <v>23150</v>
      </c>
      <c r="P97" s="544">
        <v>23500</v>
      </c>
      <c r="Q97" s="544">
        <v>24450</v>
      </c>
      <c r="R97" s="544">
        <v>25700</v>
      </c>
      <c r="S97" s="544">
        <v>27050</v>
      </c>
      <c r="T97" s="544">
        <v>27050</v>
      </c>
      <c r="U97" s="544">
        <v>27050</v>
      </c>
      <c r="V97" s="680">
        <v>28200</v>
      </c>
      <c r="W97" s="681">
        <v>28550</v>
      </c>
      <c r="X97" s="682">
        <v>29450</v>
      </c>
      <c r="Y97" s="682">
        <v>29850</v>
      </c>
      <c r="Z97" s="682">
        <v>30450</v>
      </c>
      <c r="AA97" s="682">
        <v>31950</v>
      </c>
      <c r="AB97" s="682">
        <v>33050</v>
      </c>
      <c r="AC97" s="683">
        <v>33900</v>
      </c>
      <c r="AD97" s="683">
        <v>35250</v>
      </c>
      <c r="AE97" s="683">
        <v>35900</v>
      </c>
      <c r="AF97" s="683">
        <v>37250</v>
      </c>
      <c r="AG97" s="691">
        <v>38450</v>
      </c>
      <c r="AH97" s="691"/>
    </row>
    <row r="98" spans="2:34" ht="15" x14ac:dyDescent="0.25">
      <c r="B98" s="684" t="s">
        <v>302</v>
      </c>
      <c r="C98" s="679">
        <v>14600</v>
      </c>
      <c r="D98" s="679">
        <v>15550</v>
      </c>
      <c r="E98" s="679">
        <v>16000</v>
      </c>
      <c r="F98" s="679">
        <v>16050</v>
      </c>
      <c r="G98" s="679">
        <v>16300</v>
      </c>
      <c r="H98" s="679">
        <v>16300</v>
      </c>
      <c r="I98" s="679">
        <v>17150</v>
      </c>
      <c r="J98" s="679">
        <v>18050</v>
      </c>
      <c r="K98" s="679">
        <v>19100</v>
      </c>
      <c r="L98" s="544">
        <v>19350</v>
      </c>
      <c r="M98" s="544">
        <v>20550</v>
      </c>
      <c r="N98" s="544">
        <v>21600</v>
      </c>
      <c r="O98" s="544">
        <v>22100</v>
      </c>
      <c r="P98" s="544">
        <v>22450</v>
      </c>
      <c r="Q98" s="544">
        <v>23800</v>
      </c>
      <c r="R98" s="544">
        <v>24050</v>
      </c>
      <c r="S98" s="544">
        <v>24900</v>
      </c>
      <c r="T98" s="544">
        <v>24900</v>
      </c>
      <c r="U98" s="544">
        <v>25050</v>
      </c>
      <c r="V98" s="680">
        <v>26150</v>
      </c>
      <c r="W98" s="681">
        <v>26400</v>
      </c>
      <c r="X98" s="682">
        <v>26850</v>
      </c>
      <c r="Y98" s="682">
        <v>27200</v>
      </c>
      <c r="Z98" s="682">
        <v>27600</v>
      </c>
      <c r="AA98" s="682">
        <v>28950</v>
      </c>
      <c r="AB98" s="682">
        <v>30000</v>
      </c>
      <c r="AC98" s="683">
        <v>28650</v>
      </c>
      <c r="AD98" s="683">
        <v>30150</v>
      </c>
      <c r="AE98" s="683">
        <v>31150</v>
      </c>
      <c r="AF98" s="683">
        <v>30750</v>
      </c>
      <c r="AG98" s="691">
        <v>33000</v>
      </c>
      <c r="AH98" s="691"/>
    </row>
    <row r="99" spans="2:34" ht="15" x14ac:dyDescent="0.25">
      <c r="B99" s="684" t="s">
        <v>303</v>
      </c>
      <c r="C99" s="679">
        <v>14600</v>
      </c>
      <c r="D99" s="679">
        <v>15550</v>
      </c>
      <c r="E99" s="679">
        <v>16000</v>
      </c>
      <c r="F99" s="679">
        <v>16050</v>
      </c>
      <c r="G99" s="679">
        <v>17600</v>
      </c>
      <c r="H99" s="679">
        <v>17900</v>
      </c>
      <c r="I99" s="679">
        <v>17900</v>
      </c>
      <c r="J99" s="679">
        <v>18150</v>
      </c>
      <c r="K99" s="679">
        <v>19100</v>
      </c>
      <c r="L99" s="544">
        <v>19350</v>
      </c>
      <c r="M99" s="544">
        <v>20550</v>
      </c>
      <c r="N99" s="544">
        <v>23700</v>
      </c>
      <c r="O99" s="544">
        <v>23900</v>
      </c>
      <c r="P99" s="544">
        <v>23900</v>
      </c>
      <c r="Q99" s="544">
        <v>25450</v>
      </c>
      <c r="R99" s="544">
        <v>25450</v>
      </c>
      <c r="S99" s="544">
        <v>26150</v>
      </c>
      <c r="T99" s="544">
        <v>26150</v>
      </c>
      <c r="U99" s="544">
        <v>26200</v>
      </c>
      <c r="V99" s="680">
        <v>26500</v>
      </c>
      <c r="W99" s="681">
        <v>27450</v>
      </c>
      <c r="X99" s="682">
        <v>26850</v>
      </c>
      <c r="Y99" s="682">
        <v>27200</v>
      </c>
      <c r="Z99" s="682">
        <v>27600</v>
      </c>
      <c r="AA99" s="682">
        <v>27400</v>
      </c>
      <c r="AB99" s="682">
        <v>28700</v>
      </c>
      <c r="AC99" s="683">
        <v>28650</v>
      </c>
      <c r="AD99" s="683">
        <v>30150</v>
      </c>
      <c r="AE99" s="683">
        <v>30550</v>
      </c>
      <c r="AF99" s="683">
        <v>30750</v>
      </c>
      <c r="AG99" s="691">
        <v>32300</v>
      </c>
      <c r="AH99" s="691"/>
    </row>
    <row r="100" spans="2:34" ht="15" x14ac:dyDescent="0.25">
      <c r="B100" s="684" t="s">
        <v>304</v>
      </c>
      <c r="C100" s="679">
        <v>14600</v>
      </c>
      <c r="D100" s="679">
        <v>15550</v>
      </c>
      <c r="E100" s="679">
        <v>16000</v>
      </c>
      <c r="F100" s="679">
        <v>16050</v>
      </c>
      <c r="G100" s="679">
        <v>16300</v>
      </c>
      <c r="H100" s="679">
        <v>16300</v>
      </c>
      <c r="I100" s="679">
        <v>17150</v>
      </c>
      <c r="J100" s="679">
        <v>18050</v>
      </c>
      <c r="K100" s="679">
        <v>19100</v>
      </c>
      <c r="L100" s="544">
        <v>19350</v>
      </c>
      <c r="M100" s="544">
        <v>20550</v>
      </c>
      <c r="N100" s="544">
        <v>21600</v>
      </c>
      <c r="O100" s="544">
        <v>22100</v>
      </c>
      <c r="P100" s="544">
        <v>22450</v>
      </c>
      <c r="Q100" s="544">
        <v>23800</v>
      </c>
      <c r="R100" s="544">
        <v>24050</v>
      </c>
      <c r="S100" s="544">
        <v>24900</v>
      </c>
      <c r="T100" s="544">
        <v>24900</v>
      </c>
      <c r="U100" s="544">
        <v>25050</v>
      </c>
      <c r="V100" s="680">
        <v>26150</v>
      </c>
      <c r="W100" s="681">
        <v>26400</v>
      </c>
      <c r="X100" s="682">
        <v>26850</v>
      </c>
      <c r="Y100" s="682">
        <v>27200</v>
      </c>
      <c r="Z100" s="682">
        <v>27600</v>
      </c>
      <c r="AA100" s="682">
        <v>27400</v>
      </c>
      <c r="AB100" s="682">
        <v>28700</v>
      </c>
      <c r="AC100" s="683">
        <v>28650</v>
      </c>
      <c r="AD100" s="683">
        <v>30150</v>
      </c>
      <c r="AE100" s="683">
        <v>30550</v>
      </c>
      <c r="AF100" s="683">
        <v>30750</v>
      </c>
      <c r="AG100" s="691">
        <v>32300</v>
      </c>
      <c r="AH100" s="691"/>
    </row>
    <row r="101" spans="2:34" ht="15" x14ac:dyDescent="0.25">
      <c r="B101" s="684" t="s">
        <v>305</v>
      </c>
      <c r="C101" s="679">
        <v>14600</v>
      </c>
      <c r="D101" s="679">
        <v>15550</v>
      </c>
      <c r="E101" s="679">
        <v>16000</v>
      </c>
      <c r="F101" s="679">
        <v>16050</v>
      </c>
      <c r="G101" s="679">
        <v>16300</v>
      </c>
      <c r="H101" s="679">
        <v>16300</v>
      </c>
      <c r="I101" s="679">
        <v>17150</v>
      </c>
      <c r="J101" s="679">
        <v>18050</v>
      </c>
      <c r="K101" s="679">
        <v>19100</v>
      </c>
      <c r="L101" s="544">
        <v>19350</v>
      </c>
      <c r="M101" s="544">
        <v>20550</v>
      </c>
      <c r="N101" s="544">
        <v>21600</v>
      </c>
      <c r="O101" s="544">
        <v>22100</v>
      </c>
      <c r="P101" s="544">
        <v>22450</v>
      </c>
      <c r="Q101" s="544">
        <v>23800</v>
      </c>
      <c r="R101" s="544">
        <v>24050</v>
      </c>
      <c r="S101" s="544">
        <v>24900</v>
      </c>
      <c r="T101" s="544">
        <v>24900</v>
      </c>
      <c r="U101" s="544">
        <v>25050</v>
      </c>
      <c r="V101" s="680">
        <v>26150</v>
      </c>
      <c r="W101" s="681">
        <v>26400</v>
      </c>
      <c r="X101" s="682">
        <v>26850</v>
      </c>
      <c r="Y101" s="682">
        <v>27200</v>
      </c>
      <c r="Z101" s="682">
        <v>27600</v>
      </c>
      <c r="AA101" s="682">
        <v>27400</v>
      </c>
      <c r="AB101" s="682">
        <v>28700</v>
      </c>
      <c r="AC101" s="683">
        <v>28650</v>
      </c>
      <c r="AD101" s="683">
        <v>30150</v>
      </c>
      <c r="AE101" s="683">
        <v>30550</v>
      </c>
      <c r="AF101" s="683">
        <v>30750</v>
      </c>
      <c r="AG101" s="691">
        <v>32300</v>
      </c>
      <c r="AH101" s="691"/>
    </row>
    <row r="102" spans="2:34" ht="15" x14ac:dyDescent="0.25">
      <c r="B102" s="684" t="s">
        <v>306</v>
      </c>
      <c r="C102" s="679">
        <v>14700</v>
      </c>
      <c r="D102" s="679">
        <v>15750</v>
      </c>
      <c r="E102" s="679">
        <v>16000</v>
      </c>
      <c r="F102" s="679">
        <v>16050</v>
      </c>
      <c r="G102" s="679">
        <v>16300</v>
      </c>
      <c r="H102" s="679">
        <v>16300</v>
      </c>
      <c r="I102" s="679">
        <v>17750</v>
      </c>
      <c r="J102" s="679">
        <v>18150</v>
      </c>
      <c r="K102" s="679">
        <v>19100</v>
      </c>
      <c r="L102" s="544">
        <v>19350</v>
      </c>
      <c r="M102" s="544">
        <v>20550</v>
      </c>
      <c r="N102" s="544">
        <v>21600</v>
      </c>
      <c r="O102" s="544">
        <v>22100</v>
      </c>
      <c r="P102" s="544">
        <v>23200</v>
      </c>
      <c r="Q102" s="544">
        <v>25050</v>
      </c>
      <c r="R102" s="544">
        <v>25150</v>
      </c>
      <c r="S102" s="544">
        <v>26350</v>
      </c>
      <c r="T102" s="544">
        <v>26350</v>
      </c>
      <c r="U102" s="544">
        <v>26500</v>
      </c>
      <c r="V102" s="680">
        <v>27600</v>
      </c>
      <c r="W102" s="681">
        <v>27950</v>
      </c>
      <c r="X102" s="682">
        <v>29300</v>
      </c>
      <c r="Y102" s="682">
        <v>30050</v>
      </c>
      <c r="Z102" s="682">
        <v>30150</v>
      </c>
      <c r="AA102" s="682">
        <v>30350</v>
      </c>
      <c r="AB102" s="682">
        <v>31300</v>
      </c>
      <c r="AC102" s="683">
        <v>30200</v>
      </c>
      <c r="AD102" s="683">
        <v>31700</v>
      </c>
      <c r="AE102" s="683">
        <v>31350</v>
      </c>
      <c r="AF102" s="683">
        <v>32550</v>
      </c>
      <c r="AG102" s="691">
        <v>32450</v>
      </c>
      <c r="AH102" s="691"/>
    </row>
    <row r="103" spans="2:34" ht="15" x14ac:dyDescent="0.25">
      <c r="B103" s="684" t="s">
        <v>307</v>
      </c>
      <c r="C103" s="679">
        <v>14600</v>
      </c>
      <c r="D103" s="679">
        <v>15600</v>
      </c>
      <c r="E103" s="679">
        <v>16000</v>
      </c>
      <c r="F103" s="679">
        <v>16050</v>
      </c>
      <c r="G103" s="679">
        <v>16300</v>
      </c>
      <c r="H103" s="679">
        <v>16300</v>
      </c>
      <c r="I103" s="679">
        <v>17150</v>
      </c>
      <c r="J103" s="679">
        <v>18050</v>
      </c>
      <c r="K103" s="679">
        <v>19100</v>
      </c>
      <c r="L103" s="544">
        <v>19350</v>
      </c>
      <c r="M103" s="544">
        <v>20550</v>
      </c>
      <c r="N103" s="544">
        <v>21600</v>
      </c>
      <c r="O103" s="544">
        <v>22100</v>
      </c>
      <c r="P103" s="544">
        <v>22450</v>
      </c>
      <c r="Q103" s="544">
        <v>23800</v>
      </c>
      <c r="R103" s="544">
        <v>24050</v>
      </c>
      <c r="S103" s="544">
        <v>26100</v>
      </c>
      <c r="T103" s="544">
        <v>26100</v>
      </c>
      <c r="U103" s="544">
        <v>26100</v>
      </c>
      <c r="V103" s="680">
        <v>27150</v>
      </c>
      <c r="W103" s="681">
        <v>27200</v>
      </c>
      <c r="X103" s="682">
        <v>27850</v>
      </c>
      <c r="Y103" s="682">
        <v>28200</v>
      </c>
      <c r="Z103" s="682">
        <v>29600</v>
      </c>
      <c r="AA103" s="682">
        <v>28500</v>
      </c>
      <c r="AB103" s="682">
        <v>30150</v>
      </c>
      <c r="AC103" s="683">
        <v>30050</v>
      </c>
      <c r="AD103" s="683">
        <v>30750</v>
      </c>
      <c r="AE103" s="683">
        <v>32150</v>
      </c>
      <c r="AF103" s="683">
        <v>32150</v>
      </c>
      <c r="AG103" s="691">
        <v>31800</v>
      </c>
      <c r="AH103" s="691"/>
    </row>
    <row r="104" spans="2:34" ht="15" x14ac:dyDescent="0.25">
      <c r="B104" s="684" t="s">
        <v>308</v>
      </c>
      <c r="C104" s="679">
        <v>17150</v>
      </c>
      <c r="D104" s="679">
        <v>17600</v>
      </c>
      <c r="E104" s="679">
        <v>18250</v>
      </c>
      <c r="F104" s="679">
        <v>20400</v>
      </c>
      <c r="G104" s="679">
        <v>20750</v>
      </c>
      <c r="H104" s="679">
        <v>20750</v>
      </c>
      <c r="I104" s="679">
        <v>21900</v>
      </c>
      <c r="J104" s="679">
        <v>22900</v>
      </c>
      <c r="K104" s="679">
        <v>24150</v>
      </c>
      <c r="L104" s="544">
        <v>24200</v>
      </c>
      <c r="M104" s="544">
        <v>25750</v>
      </c>
      <c r="N104" s="544">
        <v>27550</v>
      </c>
      <c r="O104" s="544">
        <v>28000</v>
      </c>
      <c r="P104" s="544">
        <v>29100</v>
      </c>
      <c r="Q104" s="544">
        <v>31100</v>
      </c>
      <c r="R104" s="544">
        <v>31100</v>
      </c>
      <c r="S104" s="544">
        <v>32350</v>
      </c>
      <c r="T104" s="544">
        <v>32350</v>
      </c>
      <c r="U104" s="544">
        <v>32350</v>
      </c>
      <c r="V104" s="680">
        <v>34250</v>
      </c>
      <c r="W104" s="681">
        <v>34750</v>
      </c>
      <c r="X104" s="682">
        <v>35300</v>
      </c>
      <c r="Y104" s="682">
        <v>35750</v>
      </c>
      <c r="Z104" s="682">
        <v>35400</v>
      </c>
      <c r="AA104" s="682">
        <v>33650</v>
      </c>
      <c r="AB104" s="682">
        <v>35650</v>
      </c>
      <c r="AC104" s="683">
        <v>37350</v>
      </c>
      <c r="AD104" s="683">
        <v>35500</v>
      </c>
      <c r="AE104" s="683">
        <v>39550</v>
      </c>
      <c r="AF104" s="683">
        <v>40950</v>
      </c>
      <c r="AG104" s="691">
        <v>44200</v>
      </c>
      <c r="AH104" s="691"/>
    </row>
    <row r="105" spans="2:34" ht="15" x14ac:dyDescent="0.25">
      <c r="B105" s="684" t="s">
        <v>309</v>
      </c>
      <c r="C105" s="679">
        <v>14600</v>
      </c>
      <c r="D105" s="679">
        <v>15550</v>
      </c>
      <c r="E105" s="679">
        <v>16000</v>
      </c>
      <c r="F105" s="679">
        <v>16050</v>
      </c>
      <c r="G105" s="679">
        <v>16300</v>
      </c>
      <c r="H105" s="679">
        <v>16300</v>
      </c>
      <c r="I105" s="679">
        <v>17150</v>
      </c>
      <c r="J105" s="679">
        <v>18050</v>
      </c>
      <c r="K105" s="679">
        <v>19100</v>
      </c>
      <c r="L105" s="544">
        <v>19350</v>
      </c>
      <c r="M105" s="544">
        <v>20550</v>
      </c>
      <c r="N105" s="544">
        <v>21600</v>
      </c>
      <c r="O105" s="544">
        <v>22100</v>
      </c>
      <c r="P105" s="544">
        <v>22450</v>
      </c>
      <c r="Q105" s="544">
        <v>23800</v>
      </c>
      <c r="R105" s="544">
        <v>24050</v>
      </c>
      <c r="S105" s="544">
        <v>24900</v>
      </c>
      <c r="T105" s="544">
        <v>24900</v>
      </c>
      <c r="U105" s="544">
        <v>25050</v>
      </c>
      <c r="V105" s="680">
        <v>26150</v>
      </c>
      <c r="W105" s="681">
        <v>26400</v>
      </c>
      <c r="X105" s="682">
        <v>26900</v>
      </c>
      <c r="Y105" s="682">
        <v>27300</v>
      </c>
      <c r="Z105" s="682">
        <v>27600</v>
      </c>
      <c r="AA105" s="682">
        <v>27400</v>
      </c>
      <c r="AB105" s="682">
        <v>28700</v>
      </c>
      <c r="AC105" s="683">
        <v>28650</v>
      </c>
      <c r="AD105" s="683">
        <v>30150</v>
      </c>
      <c r="AE105" s="683">
        <v>30550</v>
      </c>
      <c r="AF105" s="683">
        <v>30950</v>
      </c>
      <c r="AG105" s="691">
        <v>32300</v>
      </c>
      <c r="AH105" s="691"/>
    </row>
    <row r="106" spans="2:34" ht="15" x14ac:dyDescent="0.25">
      <c r="B106" s="684" t="s">
        <v>310</v>
      </c>
      <c r="C106" s="679">
        <v>14600</v>
      </c>
      <c r="D106" s="679">
        <v>15550</v>
      </c>
      <c r="E106" s="679">
        <v>16000</v>
      </c>
      <c r="F106" s="679">
        <v>16050</v>
      </c>
      <c r="G106" s="679">
        <v>16300</v>
      </c>
      <c r="H106" s="679">
        <v>16300</v>
      </c>
      <c r="I106" s="679">
        <v>17150</v>
      </c>
      <c r="J106" s="679">
        <v>18050</v>
      </c>
      <c r="K106" s="679">
        <v>19100</v>
      </c>
      <c r="L106" s="544">
        <v>19350</v>
      </c>
      <c r="M106" s="544">
        <v>20550</v>
      </c>
      <c r="N106" s="544">
        <v>21600</v>
      </c>
      <c r="O106" s="544">
        <v>22100</v>
      </c>
      <c r="P106" s="544">
        <v>22450</v>
      </c>
      <c r="Q106" s="544">
        <v>23800</v>
      </c>
      <c r="R106" s="544">
        <v>24050</v>
      </c>
      <c r="S106" s="544">
        <v>24900</v>
      </c>
      <c r="T106" s="544">
        <v>24900</v>
      </c>
      <c r="U106" s="544">
        <v>25050</v>
      </c>
      <c r="V106" s="680">
        <v>26150</v>
      </c>
      <c r="W106" s="681">
        <v>26400</v>
      </c>
      <c r="X106" s="682">
        <v>26850</v>
      </c>
      <c r="Y106" s="682">
        <v>27200</v>
      </c>
      <c r="Z106" s="682">
        <v>27600</v>
      </c>
      <c r="AA106" s="682">
        <v>27400</v>
      </c>
      <c r="AB106" s="682">
        <v>28700</v>
      </c>
      <c r="AC106" s="683">
        <v>28650</v>
      </c>
      <c r="AD106" s="683">
        <v>30150</v>
      </c>
      <c r="AE106" s="683">
        <v>30550</v>
      </c>
      <c r="AF106" s="683">
        <v>30750</v>
      </c>
      <c r="AG106" s="691">
        <v>32300</v>
      </c>
      <c r="AH106" s="691"/>
    </row>
    <row r="107" spans="2:34" ht="15" x14ac:dyDescent="0.25">
      <c r="B107" s="684" t="s">
        <v>311</v>
      </c>
      <c r="C107" s="679">
        <v>14600</v>
      </c>
      <c r="D107" s="679">
        <v>15550</v>
      </c>
      <c r="E107" s="679">
        <v>16000</v>
      </c>
      <c r="F107" s="679">
        <v>16050</v>
      </c>
      <c r="G107" s="679">
        <v>16300</v>
      </c>
      <c r="H107" s="679">
        <v>16300</v>
      </c>
      <c r="I107" s="679">
        <v>17750</v>
      </c>
      <c r="J107" s="679">
        <v>18150</v>
      </c>
      <c r="K107" s="679">
        <v>19100</v>
      </c>
      <c r="L107" s="544">
        <v>19350</v>
      </c>
      <c r="M107" s="544">
        <v>20550</v>
      </c>
      <c r="N107" s="544">
        <v>23900</v>
      </c>
      <c r="O107" s="544">
        <v>24750</v>
      </c>
      <c r="P107" s="544">
        <v>24750</v>
      </c>
      <c r="Q107" s="544">
        <v>25550</v>
      </c>
      <c r="R107" s="544">
        <v>25550</v>
      </c>
      <c r="S107" s="544">
        <v>26700</v>
      </c>
      <c r="T107" s="544">
        <v>26700</v>
      </c>
      <c r="U107" s="544">
        <v>26800</v>
      </c>
      <c r="V107" s="680">
        <v>28650</v>
      </c>
      <c r="W107" s="681">
        <v>28300</v>
      </c>
      <c r="X107" s="682">
        <v>29700</v>
      </c>
      <c r="Y107" s="682">
        <v>31050</v>
      </c>
      <c r="Z107" s="682">
        <v>32600</v>
      </c>
      <c r="AA107" s="682">
        <v>33000</v>
      </c>
      <c r="AB107" s="682">
        <v>33000</v>
      </c>
      <c r="AC107" s="683">
        <v>32700</v>
      </c>
      <c r="AD107" s="683">
        <v>33400</v>
      </c>
      <c r="AE107" s="683">
        <v>33800</v>
      </c>
      <c r="AF107" s="683">
        <v>36500</v>
      </c>
      <c r="AG107" s="691">
        <v>38800</v>
      </c>
      <c r="AH107" s="691"/>
    </row>
    <row r="108" spans="2:34" ht="15" x14ac:dyDescent="0.25">
      <c r="B108" s="684" t="s">
        <v>312</v>
      </c>
      <c r="C108" s="679">
        <v>14600</v>
      </c>
      <c r="D108" s="679">
        <v>15550</v>
      </c>
      <c r="E108" s="679">
        <v>16000</v>
      </c>
      <c r="F108" s="679">
        <v>16050</v>
      </c>
      <c r="G108" s="679">
        <v>16300</v>
      </c>
      <c r="H108" s="679">
        <v>16300</v>
      </c>
      <c r="I108" s="679">
        <v>17150</v>
      </c>
      <c r="J108" s="679">
        <v>18050</v>
      </c>
      <c r="K108" s="679">
        <v>19100</v>
      </c>
      <c r="L108" s="544">
        <v>19350</v>
      </c>
      <c r="M108" s="544">
        <v>20550</v>
      </c>
      <c r="N108" s="544">
        <v>21600</v>
      </c>
      <c r="O108" s="544">
        <v>22100</v>
      </c>
      <c r="P108" s="544">
        <v>23650</v>
      </c>
      <c r="Q108" s="544">
        <v>25300</v>
      </c>
      <c r="R108" s="544">
        <v>25300</v>
      </c>
      <c r="S108" s="544">
        <v>26500</v>
      </c>
      <c r="T108" s="544">
        <v>26500</v>
      </c>
      <c r="U108" s="544">
        <v>26600</v>
      </c>
      <c r="V108" s="680">
        <v>27850</v>
      </c>
      <c r="W108" s="681">
        <v>28200</v>
      </c>
      <c r="X108" s="682">
        <v>29000</v>
      </c>
      <c r="Y108" s="682">
        <v>29400</v>
      </c>
      <c r="Z108" s="682">
        <v>28750</v>
      </c>
      <c r="AA108" s="682">
        <v>28900</v>
      </c>
      <c r="AB108" s="682">
        <v>30100</v>
      </c>
      <c r="AC108" s="683">
        <v>30050</v>
      </c>
      <c r="AD108" s="683">
        <v>30750</v>
      </c>
      <c r="AE108" s="683">
        <v>32300</v>
      </c>
      <c r="AF108" s="683">
        <v>34200</v>
      </c>
      <c r="AG108" s="691">
        <v>33800</v>
      </c>
      <c r="AH108" s="691"/>
    </row>
    <row r="109" spans="2:34" ht="15" x14ac:dyDescent="0.25">
      <c r="B109" s="684" t="s">
        <v>313</v>
      </c>
      <c r="C109" s="679">
        <v>16200</v>
      </c>
      <c r="D109" s="679">
        <v>17400</v>
      </c>
      <c r="E109" s="679">
        <v>17850</v>
      </c>
      <c r="F109" s="679">
        <v>18000</v>
      </c>
      <c r="G109" s="679">
        <v>18100</v>
      </c>
      <c r="H109" s="679">
        <v>18100</v>
      </c>
      <c r="I109" s="679">
        <v>19450</v>
      </c>
      <c r="J109" s="679">
        <v>20450</v>
      </c>
      <c r="K109" s="679">
        <v>21450</v>
      </c>
      <c r="L109" s="544">
        <v>21800</v>
      </c>
      <c r="M109" s="544">
        <v>23250</v>
      </c>
      <c r="N109" s="544">
        <v>24800</v>
      </c>
      <c r="O109" s="544">
        <v>25100</v>
      </c>
      <c r="P109" s="544">
        <v>25100</v>
      </c>
      <c r="Q109" s="544">
        <v>25100</v>
      </c>
      <c r="R109" s="544">
        <v>25100</v>
      </c>
      <c r="S109" s="544">
        <v>25600</v>
      </c>
      <c r="T109" s="544">
        <v>25600</v>
      </c>
      <c r="U109" s="544">
        <v>25650</v>
      </c>
      <c r="V109" s="680">
        <v>27100</v>
      </c>
      <c r="W109" s="681">
        <v>27700</v>
      </c>
      <c r="X109" s="682">
        <v>28950</v>
      </c>
      <c r="Y109" s="682">
        <v>29350</v>
      </c>
      <c r="Z109" s="682">
        <v>30150</v>
      </c>
      <c r="AA109" s="682">
        <v>29050</v>
      </c>
      <c r="AB109" s="682">
        <v>30350</v>
      </c>
      <c r="AC109" s="683">
        <v>28850</v>
      </c>
      <c r="AD109" s="683">
        <v>30150</v>
      </c>
      <c r="AE109" s="683">
        <v>30550</v>
      </c>
      <c r="AF109" s="683">
        <v>31300</v>
      </c>
      <c r="AG109" s="691">
        <v>32300</v>
      </c>
      <c r="AH109" s="691"/>
    </row>
    <row r="110" spans="2:34" ht="15" x14ac:dyDescent="0.25">
      <c r="B110" s="684" t="s">
        <v>314</v>
      </c>
      <c r="C110" s="679">
        <v>16300</v>
      </c>
      <c r="D110" s="679">
        <v>17400</v>
      </c>
      <c r="E110" s="679">
        <v>17950</v>
      </c>
      <c r="F110" s="679">
        <v>17550</v>
      </c>
      <c r="G110" s="679">
        <v>17800</v>
      </c>
      <c r="H110" s="679">
        <v>17800</v>
      </c>
      <c r="I110" s="679">
        <v>18900</v>
      </c>
      <c r="J110" s="679">
        <v>19700</v>
      </c>
      <c r="K110" s="679">
        <v>20050</v>
      </c>
      <c r="L110" s="544">
        <v>21850</v>
      </c>
      <c r="M110" s="544">
        <v>21950</v>
      </c>
      <c r="N110" s="544">
        <v>25450</v>
      </c>
      <c r="O110" s="544">
        <v>26100</v>
      </c>
      <c r="P110" s="544">
        <v>26100</v>
      </c>
      <c r="Q110" s="544">
        <v>26100</v>
      </c>
      <c r="R110" s="544">
        <v>26100</v>
      </c>
      <c r="S110" s="544">
        <v>26100</v>
      </c>
      <c r="T110" s="544">
        <v>26100</v>
      </c>
      <c r="U110" s="544">
        <v>26100</v>
      </c>
      <c r="V110" s="680">
        <v>26150</v>
      </c>
      <c r="W110" s="681">
        <v>26700</v>
      </c>
      <c r="X110" s="682">
        <v>26850</v>
      </c>
      <c r="Y110" s="682">
        <v>27200</v>
      </c>
      <c r="Z110" s="682">
        <v>27750</v>
      </c>
      <c r="AA110" s="682">
        <v>28600</v>
      </c>
      <c r="AB110" s="682">
        <v>29200</v>
      </c>
      <c r="AC110" s="683">
        <v>29450</v>
      </c>
      <c r="AD110" s="683">
        <v>30150</v>
      </c>
      <c r="AE110" s="683">
        <v>30550</v>
      </c>
      <c r="AF110" s="683">
        <v>30750</v>
      </c>
      <c r="AG110" s="691">
        <v>32300</v>
      </c>
      <c r="AH110" s="691"/>
    </row>
    <row r="111" spans="2:34" ht="15" x14ac:dyDescent="0.25">
      <c r="B111" s="684" t="s">
        <v>315</v>
      </c>
      <c r="C111" s="679">
        <v>14600</v>
      </c>
      <c r="D111" s="679">
        <v>15800</v>
      </c>
      <c r="E111" s="679">
        <v>16550</v>
      </c>
      <c r="F111" s="679">
        <v>16850</v>
      </c>
      <c r="G111" s="679">
        <v>17300</v>
      </c>
      <c r="H111" s="679">
        <v>17300</v>
      </c>
      <c r="I111" s="679">
        <v>17900</v>
      </c>
      <c r="J111" s="679">
        <v>18300</v>
      </c>
      <c r="K111" s="679">
        <v>19100</v>
      </c>
      <c r="L111" s="544">
        <v>19650</v>
      </c>
      <c r="M111" s="544">
        <v>20550</v>
      </c>
      <c r="N111" s="544">
        <v>24800</v>
      </c>
      <c r="O111" s="544">
        <v>25500</v>
      </c>
      <c r="P111" s="544">
        <v>25500</v>
      </c>
      <c r="Q111" s="544">
        <v>25500</v>
      </c>
      <c r="R111" s="544">
        <v>25850</v>
      </c>
      <c r="S111" s="544">
        <v>27000</v>
      </c>
      <c r="T111" s="544">
        <v>27000</v>
      </c>
      <c r="U111" s="544">
        <v>27150</v>
      </c>
      <c r="V111" s="680">
        <v>29350</v>
      </c>
      <c r="W111" s="681">
        <v>29050</v>
      </c>
      <c r="X111" s="682">
        <v>30500</v>
      </c>
      <c r="Y111" s="682">
        <v>31500</v>
      </c>
      <c r="Z111" s="682">
        <v>31300</v>
      </c>
      <c r="AA111" s="682">
        <v>30850</v>
      </c>
      <c r="AB111" s="682">
        <v>30950</v>
      </c>
      <c r="AC111" s="683">
        <v>30150</v>
      </c>
      <c r="AD111" s="683">
        <v>31100</v>
      </c>
      <c r="AE111" s="683">
        <v>32400</v>
      </c>
      <c r="AF111" s="683">
        <v>34700</v>
      </c>
      <c r="AG111" s="691">
        <v>35050</v>
      </c>
      <c r="AH111" s="691"/>
    </row>
    <row r="112" spans="2:34" ht="15" x14ac:dyDescent="0.25">
      <c r="B112" s="684" t="s">
        <v>316</v>
      </c>
      <c r="C112" s="679">
        <v>14600</v>
      </c>
      <c r="D112" s="679">
        <v>15550</v>
      </c>
      <c r="E112" s="679">
        <v>16000</v>
      </c>
      <c r="F112" s="679">
        <v>16050</v>
      </c>
      <c r="G112" s="679">
        <v>16300</v>
      </c>
      <c r="H112" s="679">
        <v>16300</v>
      </c>
      <c r="I112" s="679">
        <v>17150</v>
      </c>
      <c r="J112" s="679">
        <v>18050</v>
      </c>
      <c r="K112" s="679">
        <v>19100</v>
      </c>
      <c r="L112" s="544">
        <v>19350</v>
      </c>
      <c r="M112" s="544">
        <v>20550</v>
      </c>
      <c r="N112" s="544">
        <v>21600</v>
      </c>
      <c r="O112" s="544">
        <v>22100</v>
      </c>
      <c r="P112" s="544">
        <v>22450</v>
      </c>
      <c r="Q112" s="544">
        <v>23800</v>
      </c>
      <c r="R112" s="544">
        <v>24050</v>
      </c>
      <c r="S112" s="544">
        <v>24900</v>
      </c>
      <c r="T112" s="544">
        <v>24900</v>
      </c>
      <c r="U112" s="544">
        <v>25050</v>
      </c>
      <c r="V112" s="680">
        <v>26150</v>
      </c>
      <c r="W112" s="681">
        <v>28250</v>
      </c>
      <c r="X112" s="682">
        <v>29500</v>
      </c>
      <c r="Y112" s="682">
        <v>29900</v>
      </c>
      <c r="Z112" s="682">
        <v>30550</v>
      </c>
      <c r="AA112" s="682">
        <v>29800</v>
      </c>
      <c r="AB112" s="682">
        <v>31050</v>
      </c>
      <c r="AC112" s="683">
        <v>29500</v>
      </c>
      <c r="AD112" s="683">
        <v>30150</v>
      </c>
      <c r="AE112" s="683">
        <v>30550</v>
      </c>
      <c r="AF112" s="683">
        <v>30750</v>
      </c>
      <c r="AG112" s="691">
        <v>32300</v>
      </c>
      <c r="AH112" s="691"/>
    </row>
    <row r="113" spans="2:34" ht="15" x14ac:dyDescent="0.25">
      <c r="B113" s="684" t="s">
        <v>317</v>
      </c>
      <c r="C113" s="679">
        <v>14600</v>
      </c>
      <c r="D113" s="679">
        <v>15550</v>
      </c>
      <c r="E113" s="679">
        <v>16000</v>
      </c>
      <c r="F113" s="679">
        <v>16050</v>
      </c>
      <c r="G113" s="679">
        <v>16300</v>
      </c>
      <c r="H113" s="679">
        <v>16300</v>
      </c>
      <c r="I113" s="679">
        <v>17750</v>
      </c>
      <c r="J113" s="679">
        <v>18150</v>
      </c>
      <c r="K113" s="679">
        <v>19100</v>
      </c>
      <c r="L113" s="544">
        <v>19350</v>
      </c>
      <c r="M113" s="544">
        <v>20550</v>
      </c>
      <c r="N113" s="544">
        <v>23350</v>
      </c>
      <c r="O113" s="544">
        <v>23350</v>
      </c>
      <c r="P113" s="544">
        <v>23350</v>
      </c>
      <c r="Q113" s="544">
        <v>23800</v>
      </c>
      <c r="R113" s="544">
        <v>24050</v>
      </c>
      <c r="S113" s="544">
        <v>24900</v>
      </c>
      <c r="T113" s="544">
        <v>24900</v>
      </c>
      <c r="U113" s="544">
        <v>25050</v>
      </c>
      <c r="V113" s="680">
        <v>26150</v>
      </c>
      <c r="W113" s="681">
        <v>26400</v>
      </c>
      <c r="X113" s="682">
        <v>26850</v>
      </c>
      <c r="Y113" s="682">
        <v>27200</v>
      </c>
      <c r="Z113" s="682">
        <v>27600</v>
      </c>
      <c r="AA113" s="682">
        <v>27400</v>
      </c>
      <c r="AB113" s="682">
        <v>28700</v>
      </c>
      <c r="AC113" s="683">
        <v>28650</v>
      </c>
      <c r="AD113" s="683">
        <v>30150</v>
      </c>
      <c r="AE113" s="683">
        <v>30550</v>
      </c>
      <c r="AF113" s="683">
        <v>30750</v>
      </c>
      <c r="AG113" s="691">
        <v>32300</v>
      </c>
      <c r="AH113" s="691"/>
    </row>
    <row r="114" spans="2:34" ht="15" x14ac:dyDescent="0.25">
      <c r="B114" s="684" t="s">
        <v>318</v>
      </c>
      <c r="C114" s="679">
        <v>14600</v>
      </c>
      <c r="D114" s="679">
        <v>15550</v>
      </c>
      <c r="E114" s="679">
        <v>16000</v>
      </c>
      <c r="F114" s="679">
        <v>16050</v>
      </c>
      <c r="G114" s="679">
        <v>16300</v>
      </c>
      <c r="H114" s="679">
        <v>16300</v>
      </c>
      <c r="I114" s="679">
        <v>17150</v>
      </c>
      <c r="J114" s="679">
        <v>18050</v>
      </c>
      <c r="K114" s="679">
        <v>19100</v>
      </c>
      <c r="L114" s="544">
        <v>19350</v>
      </c>
      <c r="M114" s="544">
        <v>20550</v>
      </c>
      <c r="N114" s="544">
        <v>21600</v>
      </c>
      <c r="O114" s="544">
        <v>22100</v>
      </c>
      <c r="P114" s="544">
        <v>22450</v>
      </c>
      <c r="Q114" s="544">
        <v>23800</v>
      </c>
      <c r="R114" s="544">
        <v>24050</v>
      </c>
      <c r="S114" s="544">
        <v>24900</v>
      </c>
      <c r="T114" s="544">
        <v>24900</v>
      </c>
      <c r="U114" s="544">
        <v>25050</v>
      </c>
      <c r="V114" s="680">
        <v>26150</v>
      </c>
      <c r="W114" s="681">
        <v>26400</v>
      </c>
      <c r="X114" s="682">
        <v>27700</v>
      </c>
      <c r="Y114" s="682">
        <v>29050</v>
      </c>
      <c r="Z114" s="682">
        <v>30500</v>
      </c>
      <c r="AA114" s="682">
        <v>29000</v>
      </c>
      <c r="AB114" s="682">
        <v>28700</v>
      </c>
      <c r="AC114" s="683">
        <v>30100</v>
      </c>
      <c r="AD114" s="683">
        <v>30150</v>
      </c>
      <c r="AE114" s="683">
        <v>30550</v>
      </c>
      <c r="AF114" s="683">
        <v>30750</v>
      </c>
      <c r="AG114" s="691">
        <v>32300</v>
      </c>
      <c r="AH114" s="691"/>
    </row>
    <row r="115" spans="2:34" ht="15" x14ac:dyDescent="0.25">
      <c r="B115" s="684" t="s">
        <v>319</v>
      </c>
      <c r="C115" s="679">
        <v>16450</v>
      </c>
      <c r="D115" s="679">
        <v>17400</v>
      </c>
      <c r="E115" s="679">
        <v>17950</v>
      </c>
      <c r="F115" s="679">
        <v>18250</v>
      </c>
      <c r="G115" s="679">
        <v>17500</v>
      </c>
      <c r="H115" s="679">
        <v>17900</v>
      </c>
      <c r="I115" s="679">
        <v>17900</v>
      </c>
      <c r="J115" s="679">
        <v>18150</v>
      </c>
      <c r="K115" s="679">
        <v>19100</v>
      </c>
      <c r="L115" s="544">
        <v>19450</v>
      </c>
      <c r="M115" s="544">
        <v>20550</v>
      </c>
      <c r="N115" s="544">
        <v>24650</v>
      </c>
      <c r="O115" s="544">
        <v>24900</v>
      </c>
      <c r="P115" s="544">
        <v>24900</v>
      </c>
      <c r="Q115" s="544">
        <v>25400</v>
      </c>
      <c r="R115" s="544">
        <v>25600</v>
      </c>
      <c r="S115" s="544">
        <v>26850</v>
      </c>
      <c r="T115" s="544">
        <v>26850</v>
      </c>
      <c r="U115" s="544">
        <v>27050</v>
      </c>
      <c r="V115" s="680">
        <v>28200</v>
      </c>
      <c r="W115" s="681">
        <v>28550</v>
      </c>
      <c r="X115" s="682">
        <v>29950</v>
      </c>
      <c r="Y115" s="682">
        <v>31400</v>
      </c>
      <c r="Z115" s="682">
        <v>32300</v>
      </c>
      <c r="AA115" s="682">
        <v>33850</v>
      </c>
      <c r="AB115" s="682">
        <v>33400</v>
      </c>
      <c r="AC115" s="683">
        <v>31750</v>
      </c>
      <c r="AD115" s="683">
        <v>30200</v>
      </c>
      <c r="AE115" s="683">
        <v>33250</v>
      </c>
      <c r="AF115" s="683">
        <v>34000</v>
      </c>
      <c r="AG115" s="691">
        <v>36200</v>
      </c>
      <c r="AH115" s="691"/>
    </row>
    <row r="116" spans="2:34" ht="15" x14ac:dyDescent="0.25">
      <c r="B116" s="684" t="s">
        <v>320</v>
      </c>
      <c r="C116" s="679">
        <v>15000</v>
      </c>
      <c r="D116" s="679">
        <v>16150</v>
      </c>
      <c r="E116" s="679">
        <v>16550</v>
      </c>
      <c r="F116" s="679">
        <v>16550</v>
      </c>
      <c r="G116" s="679">
        <v>16300</v>
      </c>
      <c r="H116" s="679">
        <v>16300</v>
      </c>
      <c r="I116" s="679">
        <v>17150</v>
      </c>
      <c r="J116" s="679">
        <v>18050</v>
      </c>
      <c r="K116" s="679">
        <v>19100</v>
      </c>
      <c r="L116" s="544">
        <v>19350</v>
      </c>
      <c r="M116" s="544">
        <v>20550</v>
      </c>
      <c r="N116" s="544">
        <v>21600</v>
      </c>
      <c r="O116" s="544">
        <v>22100</v>
      </c>
      <c r="P116" s="544">
        <v>23950</v>
      </c>
      <c r="Q116" s="544">
        <v>24850</v>
      </c>
      <c r="R116" s="544">
        <v>25750</v>
      </c>
      <c r="S116" s="544">
        <v>27050</v>
      </c>
      <c r="T116" s="544">
        <v>27050</v>
      </c>
      <c r="U116" s="544">
        <v>27050</v>
      </c>
      <c r="V116" s="680">
        <v>28450</v>
      </c>
      <c r="W116" s="681">
        <v>28800</v>
      </c>
      <c r="X116" s="682">
        <v>29550</v>
      </c>
      <c r="Y116" s="682">
        <v>29950</v>
      </c>
      <c r="Z116" s="682">
        <v>31400</v>
      </c>
      <c r="AA116" s="682">
        <v>32300</v>
      </c>
      <c r="AB116" s="682">
        <v>32950</v>
      </c>
      <c r="AC116" s="683">
        <v>32800</v>
      </c>
      <c r="AD116" s="683">
        <v>33550</v>
      </c>
      <c r="AE116" s="683">
        <v>34850</v>
      </c>
      <c r="AF116" s="683">
        <v>35000</v>
      </c>
      <c r="AG116" s="691">
        <v>36100</v>
      </c>
      <c r="AH116" s="691"/>
    </row>
    <row r="117" spans="2:34" ht="15" x14ac:dyDescent="0.25">
      <c r="B117" s="684" t="s">
        <v>321</v>
      </c>
      <c r="C117" s="679">
        <v>15450</v>
      </c>
      <c r="D117" s="679">
        <v>16650</v>
      </c>
      <c r="E117" s="679">
        <v>17050</v>
      </c>
      <c r="F117" s="679">
        <v>18250</v>
      </c>
      <c r="G117" s="679">
        <v>16300</v>
      </c>
      <c r="H117" s="679">
        <v>16300</v>
      </c>
      <c r="I117" s="679">
        <v>17750</v>
      </c>
      <c r="J117" s="679">
        <v>18150</v>
      </c>
      <c r="K117" s="679">
        <v>19100</v>
      </c>
      <c r="L117" s="544">
        <v>19350</v>
      </c>
      <c r="M117" s="544">
        <v>20550</v>
      </c>
      <c r="N117" s="544">
        <v>26000</v>
      </c>
      <c r="O117" s="544">
        <v>26150</v>
      </c>
      <c r="P117" s="544">
        <v>26150</v>
      </c>
      <c r="Q117" s="544">
        <v>26150</v>
      </c>
      <c r="R117" s="544">
        <v>26150</v>
      </c>
      <c r="S117" s="544">
        <v>27000</v>
      </c>
      <c r="T117" s="544">
        <v>27000</v>
      </c>
      <c r="U117" s="544">
        <v>27200</v>
      </c>
      <c r="V117" s="680">
        <v>28550</v>
      </c>
      <c r="W117" s="681">
        <v>28950</v>
      </c>
      <c r="X117" s="682">
        <v>29900</v>
      </c>
      <c r="Y117" s="682">
        <v>30300</v>
      </c>
      <c r="Z117" s="682">
        <v>31800</v>
      </c>
      <c r="AA117" s="682">
        <v>33350</v>
      </c>
      <c r="AB117" s="682">
        <v>32400</v>
      </c>
      <c r="AC117" s="683">
        <v>30800</v>
      </c>
      <c r="AD117" s="683">
        <v>30550</v>
      </c>
      <c r="AE117" s="683">
        <v>30800</v>
      </c>
      <c r="AF117" s="683">
        <v>31450</v>
      </c>
      <c r="AG117" s="691">
        <v>32650</v>
      </c>
      <c r="AH117" s="691"/>
    </row>
    <row r="118" spans="2:34" ht="15" x14ac:dyDescent="0.25">
      <c r="B118" s="684" t="s">
        <v>322</v>
      </c>
      <c r="C118" s="679">
        <v>14600</v>
      </c>
      <c r="D118" s="679">
        <v>15550</v>
      </c>
      <c r="E118" s="679">
        <v>16000</v>
      </c>
      <c r="F118" s="679">
        <v>16050</v>
      </c>
      <c r="G118" s="679">
        <v>16300</v>
      </c>
      <c r="H118" s="679">
        <v>16300</v>
      </c>
      <c r="I118" s="679">
        <v>17150</v>
      </c>
      <c r="J118" s="679">
        <v>18050</v>
      </c>
      <c r="K118" s="679">
        <v>19100</v>
      </c>
      <c r="L118" s="544">
        <v>19350</v>
      </c>
      <c r="M118" s="544">
        <v>20550</v>
      </c>
      <c r="N118" s="544">
        <v>21600</v>
      </c>
      <c r="O118" s="544">
        <v>22100</v>
      </c>
      <c r="P118" s="544">
        <v>22450</v>
      </c>
      <c r="Q118" s="544">
        <v>23800</v>
      </c>
      <c r="R118" s="544">
        <v>24050</v>
      </c>
      <c r="S118" s="544">
        <v>24900</v>
      </c>
      <c r="T118" s="544">
        <v>24900</v>
      </c>
      <c r="U118" s="544">
        <v>25050</v>
      </c>
      <c r="V118" s="680">
        <v>26150</v>
      </c>
      <c r="W118" s="681">
        <v>26400</v>
      </c>
      <c r="X118" s="682">
        <v>26850</v>
      </c>
      <c r="Y118" s="682">
        <v>27200</v>
      </c>
      <c r="Z118" s="682">
        <v>27600</v>
      </c>
      <c r="AA118" s="682">
        <v>27400</v>
      </c>
      <c r="AB118" s="682">
        <v>28700</v>
      </c>
      <c r="AC118" s="683">
        <v>28650</v>
      </c>
      <c r="AD118" s="683">
        <v>30150</v>
      </c>
      <c r="AE118" s="683">
        <v>30550</v>
      </c>
      <c r="AF118" s="683">
        <v>30750</v>
      </c>
      <c r="AG118" s="691">
        <v>32300</v>
      </c>
      <c r="AH118" s="691"/>
    </row>
    <row r="119" spans="2:34" ht="15" x14ac:dyDescent="0.25">
      <c r="B119" s="684" t="s">
        <v>323</v>
      </c>
      <c r="C119" s="679">
        <v>14600</v>
      </c>
      <c r="D119" s="679">
        <v>15550</v>
      </c>
      <c r="E119" s="679">
        <v>16000</v>
      </c>
      <c r="F119" s="679">
        <v>16900</v>
      </c>
      <c r="G119" s="679">
        <v>16300</v>
      </c>
      <c r="H119" s="679">
        <v>16300</v>
      </c>
      <c r="I119" s="679">
        <v>17750</v>
      </c>
      <c r="J119" s="679">
        <v>18150</v>
      </c>
      <c r="K119" s="679">
        <v>19100</v>
      </c>
      <c r="L119" s="544">
        <v>19350</v>
      </c>
      <c r="M119" s="544">
        <v>20550</v>
      </c>
      <c r="N119" s="544">
        <v>24850</v>
      </c>
      <c r="O119" s="544">
        <v>26450</v>
      </c>
      <c r="P119" s="544">
        <v>26450</v>
      </c>
      <c r="Q119" s="544">
        <v>26450</v>
      </c>
      <c r="R119" s="544">
        <v>26450</v>
      </c>
      <c r="S119" s="544">
        <v>26450</v>
      </c>
      <c r="T119" s="544">
        <v>26450</v>
      </c>
      <c r="U119" s="544">
        <v>26450</v>
      </c>
      <c r="V119" s="680">
        <v>26450</v>
      </c>
      <c r="W119" s="681">
        <v>26400</v>
      </c>
      <c r="X119" s="682">
        <v>26850</v>
      </c>
      <c r="Y119" s="682">
        <v>27200</v>
      </c>
      <c r="Z119" s="682">
        <v>27600</v>
      </c>
      <c r="AA119" s="682">
        <v>27400</v>
      </c>
      <c r="AB119" s="682">
        <v>28700</v>
      </c>
      <c r="AC119" s="683">
        <v>28650</v>
      </c>
      <c r="AD119" s="683">
        <v>30150</v>
      </c>
      <c r="AE119" s="683">
        <v>30550</v>
      </c>
      <c r="AF119" s="683">
        <v>30750</v>
      </c>
      <c r="AG119" s="691">
        <v>32300</v>
      </c>
      <c r="AH119" s="691"/>
    </row>
    <row r="120" spans="2:34" ht="15" x14ac:dyDescent="0.25">
      <c r="B120" s="684" t="s">
        <v>324</v>
      </c>
      <c r="C120" s="679">
        <v>14600</v>
      </c>
      <c r="D120" s="679">
        <v>15550</v>
      </c>
      <c r="E120" s="679">
        <v>16000</v>
      </c>
      <c r="F120" s="679">
        <v>16050</v>
      </c>
      <c r="G120" s="679">
        <v>16300</v>
      </c>
      <c r="H120" s="679">
        <v>16300</v>
      </c>
      <c r="I120" s="679">
        <v>17150</v>
      </c>
      <c r="J120" s="679">
        <v>18050</v>
      </c>
      <c r="K120" s="679">
        <v>19100</v>
      </c>
      <c r="L120" s="544">
        <v>19350</v>
      </c>
      <c r="M120" s="544">
        <v>20550</v>
      </c>
      <c r="N120" s="544">
        <v>21600</v>
      </c>
      <c r="O120" s="544">
        <v>22100</v>
      </c>
      <c r="P120" s="544">
        <v>22450</v>
      </c>
      <c r="Q120" s="544">
        <v>23800</v>
      </c>
      <c r="R120" s="544">
        <v>24050</v>
      </c>
      <c r="S120" s="544">
        <v>24900</v>
      </c>
      <c r="T120" s="544">
        <v>24900</v>
      </c>
      <c r="U120" s="544">
        <v>25050</v>
      </c>
      <c r="V120" s="680">
        <v>26150</v>
      </c>
      <c r="W120" s="681">
        <v>26400</v>
      </c>
      <c r="X120" s="682">
        <v>26850</v>
      </c>
      <c r="Y120" s="682">
        <v>27200</v>
      </c>
      <c r="Z120" s="682">
        <v>27600</v>
      </c>
      <c r="AA120" s="682">
        <v>27400</v>
      </c>
      <c r="AB120" s="682">
        <v>28700</v>
      </c>
      <c r="AC120" s="683">
        <v>28650</v>
      </c>
      <c r="AD120" s="683">
        <v>30150</v>
      </c>
      <c r="AE120" s="683">
        <v>30550</v>
      </c>
      <c r="AF120" s="683">
        <v>31650</v>
      </c>
      <c r="AG120" s="691">
        <v>32300</v>
      </c>
      <c r="AH120" s="691"/>
    </row>
    <row r="121" spans="2:34" ht="15" x14ac:dyDescent="0.25">
      <c r="B121" s="684" t="s">
        <v>325</v>
      </c>
      <c r="C121" s="679">
        <v>20100</v>
      </c>
      <c r="D121" s="679">
        <v>21250</v>
      </c>
      <c r="E121" s="679">
        <v>22450</v>
      </c>
      <c r="F121" s="679">
        <v>20600</v>
      </c>
      <c r="G121" s="679">
        <v>21200</v>
      </c>
      <c r="H121" s="679">
        <v>21200</v>
      </c>
      <c r="I121" s="679">
        <v>22250</v>
      </c>
      <c r="J121" s="679">
        <v>22900</v>
      </c>
      <c r="K121" s="679">
        <v>24500</v>
      </c>
      <c r="L121" s="544">
        <v>25000</v>
      </c>
      <c r="M121" s="544">
        <v>25300</v>
      </c>
      <c r="N121" s="544">
        <v>29500</v>
      </c>
      <c r="O121" s="544">
        <v>29500</v>
      </c>
      <c r="P121" s="544">
        <v>29500</v>
      </c>
      <c r="Q121" s="544">
        <v>29500</v>
      </c>
      <c r="R121" s="544">
        <v>29500</v>
      </c>
      <c r="S121" s="544">
        <v>30600</v>
      </c>
      <c r="T121" s="544">
        <v>30600</v>
      </c>
      <c r="U121" s="544">
        <v>30600</v>
      </c>
      <c r="V121" s="680">
        <v>31450</v>
      </c>
      <c r="W121" s="681">
        <v>31850</v>
      </c>
      <c r="X121" s="682">
        <v>32050</v>
      </c>
      <c r="Y121" s="682">
        <v>32500</v>
      </c>
      <c r="Z121" s="682">
        <v>31600</v>
      </c>
      <c r="AA121" s="682">
        <v>32950</v>
      </c>
      <c r="AB121" s="682">
        <v>31350</v>
      </c>
      <c r="AC121" s="683">
        <v>32600</v>
      </c>
      <c r="AD121" s="683">
        <v>33200</v>
      </c>
      <c r="AE121" s="683">
        <v>34700</v>
      </c>
      <c r="AF121" s="683">
        <v>36450</v>
      </c>
      <c r="AG121" s="691">
        <v>36300</v>
      </c>
      <c r="AH121" s="691"/>
    </row>
    <row r="122" spans="2:34" ht="15" x14ac:dyDescent="0.25">
      <c r="B122" s="684" t="s">
        <v>326</v>
      </c>
      <c r="C122" s="679">
        <v>14600</v>
      </c>
      <c r="D122" s="679">
        <v>15600</v>
      </c>
      <c r="E122" s="679">
        <v>16000</v>
      </c>
      <c r="F122" s="679">
        <v>17550</v>
      </c>
      <c r="G122" s="679">
        <v>16300</v>
      </c>
      <c r="H122" s="679">
        <v>16600</v>
      </c>
      <c r="I122" s="679">
        <v>17550</v>
      </c>
      <c r="J122" s="679">
        <v>18150</v>
      </c>
      <c r="K122" s="679">
        <v>19100</v>
      </c>
      <c r="L122" s="544">
        <v>19350</v>
      </c>
      <c r="M122" s="544">
        <v>20550</v>
      </c>
      <c r="N122" s="544">
        <v>22550</v>
      </c>
      <c r="O122" s="544">
        <v>22550</v>
      </c>
      <c r="P122" s="544">
        <v>23250</v>
      </c>
      <c r="Q122" s="544">
        <v>24450</v>
      </c>
      <c r="R122" s="544">
        <v>24800</v>
      </c>
      <c r="S122" s="544">
        <v>25950</v>
      </c>
      <c r="T122" s="544">
        <v>25950</v>
      </c>
      <c r="U122" s="544">
        <v>26350</v>
      </c>
      <c r="V122" s="680">
        <v>27200</v>
      </c>
      <c r="W122" s="681">
        <v>27550</v>
      </c>
      <c r="X122" s="682">
        <v>28900</v>
      </c>
      <c r="Y122" s="682">
        <v>30300</v>
      </c>
      <c r="Z122" s="682">
        <v>31800</v>
      </c>
      <c r="AA122" s="682">
        <v>31850</v>
      </c>
      <c r="AB122" s="682">
        <v>32250</v>
      </c>
      <c r="AC122" s="683">
        <v>30850</v>
      </c>
      <c r="AD122" s="683">
        <v>33000</v>
      </c>
      <c r="AE122" s="683">
        <v>33800</v>
      </c>
      <c r="AF122" s="683">
        <v>32900</v>
      </c>
      <c r="AG122" s="691">
        <v>32300</v>
      </c>
      <c r="AH122" s="691"/>
    </row>
    <row r="123" spans="2:34" ht="15" x14ac:dyDescent="0.25">
      <c r="B123" s="684" t="s">
        <v>327</v>
      </c>
      <c r="C123" s="679">
        <v>14600</v>
      </c>
      <c r="D123" s="679">
        <v>15550</v>
      </c>
      <c r="E123" s="679">
        <v>16000</v>
      </c>
      <c r="F123" s="679">
        <v>16050</v>
      </c>
      <c r="G123" s="679">
        <v>16300</v>
      </c>
      <c r="H123" s="679">
        <v>16300</v>
      </c>
      <c r="I123" s="679">
        <v>17150</v>
      </c>
      <c r="J123" s="679">
        <v>18050</v>
      </c>
      <c r="K123" s="679">
        <v>19100</v>
      </c>
      <c r="L123" s="544">
        <v>19350</v>
      </c>
      <c r="M123" s="544">
        <v>20550</v>
      </c>
      <c r="N123" s="544">
        <v>21600</v>
      </c>
      <c r="O123" s="544">
        <v>22100</v>
      </c>
      <c r="P123" s="544">
        <v>22450</v>
      </c>
      <c r="Q123" s="544">
        <v>23800</v>
      </c>
      <c r="R123" s="544">
        <v>24050</v>
      </c>
      <c r="S123" s="544">
        <v>24900</v>
      </c>
      <c r="T123" s="544">
        <v>24900</v>
      </c>
      <c r="U123" s="544">
        <v>25050</v>
      </c>
      <c r="V123" s="680">
        <v>26150</v>
      </c>
      <c r="W123" s="681">
        <v>26400</v>
      </c>
      <c r="X123" s="682">
        <v>26850</v>
      </c>
      <c r="Y123" s="682">
        <v>27200</v>
      </c>
      <c r="Z123" s="682">
        <v>28550</v>
      </c>
      <c r="AA123" s="682">
        <v>29950</v>
      </c>
      <c r="AB123" s="682">
        <v>31700</v>
      </c>
      <c r="AC123" s="683">
        <v>33250</v>
      </c>
      <c r="AD123" s="683">
        <v>33250</v>
      </c>
      <c r="AE123" s="683">
        <v>37050</v>
      </c>
      <c r="AF123" s="683">
        <v>38000</v>
      </c>
      <c r="AG123" s="691">
        <v>36350</v>
      </c>
      <c r="AH123" s="691"/>
    </row>
    <row r="124" spans="2:34" ht="15" x14ac:dyDescent="0.25">
      <c r="B124" s="684" t="s">
        <v>328</v>
      </c>
      <c r="C124" s="679">
        <v>16400</v>
      </c>
      <c r="D124" s="679">
        <v>16900</v>
      </c>
      <c r="E124" s="679">
        <v>17400</v>
      </c>
      <c r="F124" s="679">
        <v>17500</v>
      </c>
      <c r="G124" s="679">
        <v>16300</v>
      </c>
      <c r="H124" s="679">
        <v>16300</v>
      </c>
      <c r="I124" s="679">
        <v>17750</v>
      </c>
      <c r="J124" s="679">
        <v>18150</v>
      </c>
      <c r="K124" s="679">
        <v>19100</v>
      </c>
      <c r="L124" s="544">
        <v>19350</v>
      </c>
      <c r="M124" s="544">
        <v>20550</v>
      </c>
      <c r="N124" s="544">
        <v>24750</v>
      </c>
      <c r="O124" s="544">
        <v>25600</v>
      </c>
      <c r="P124" s="544">
        <v>25600</v>
      </c>
      <c r="Q124" s="544">
        <v>27900</v>
      </c>
      <c r="R124" s="544">
        <v>27900</v>
      </c>
      <c r="S124" s="544">
        <v>30200</v>
      </c>
      <c r="T124" s="544">
        <v>30200</v>
      </c>
      <c r="U124" s="544">
        <v>30200</v>
      </c>
      <c r="V124" s="680">
        <v>30650</v>
      </c>
      <c r="W124" s="681">
        <v>30750</v>
      </c>
      <c r="X124" s="682">
        <v>31650</v>
      </c>
      <c r="Y124" s="682">
        <v>32100</v>
      </c>
      <c r="Z124" s="682">
        <v>31050</v>
      </c>
      <c r="AA124" s="682">
        <v>32600</v>
      </c>
      <c r="AB124" s="682">
        <v>32800</v>
      </c>
      <c r="AC124" s="683">
        <v>31300</v>
      </c>
      <c r="AD124" s="683">
        <v>33450</v>
      </c>
      <c r="AE124" s="683">
        <v>34300</v>
      </c>
      <c r="AF124" s="683">
        <v>37700</v>
      </c>
      <c r="AG124" s="691">
        <v>38850</v>
      </c>
      <c r="AH124" s="691"/>
    </row>
    <row r="125" spans="2:34" ht="15" x14ac:dyDescent="0.25">
      <c r="B125" s="684" t="s">
        <v>329</v>
      </c>
      <c r="C125" s="679">
        <v>15550</v>
      </c>
      <c r="D125" s="679">
        <v>15850</v>
      </c>
      <c r="E125" s="679">
        <v>16300</v>
      </c>
      <c r="F125" s="679">
        <v>16900</v>
      </c>
      <c r="G125" s="679">
        <v>18100</v>
      </c>
      <c r="H125" s="679">
        <v>18500</v>
      </c>
      <c r="I125" s="679">
        <v>18500</v>
      </c>
      <c r="J125" s="679">
        <v>18500</v>
      </c>
      <c r="K125" s="679">
        <v>19100</v>
      </c>
      <c r="L125" s="544">
        <v>19350</v>
      </c>
      <c r="M125" s="544">
        <v>20550</v>
      </c>
      <c r="N125" s="544">
        <v>25200</v>
      </c>
      <c r="O125" s="544">
        <v>26050</v>
      </c>
      <c r="P125" s="544">
        <v>26450</v>
      </c>
      <c r="Q125" s="544">
        <v>29100</v>
      </c>
      <c r="R125" s="544">
        <v>29200</v>
      </c>
      <c r="S125" s="544">
        <v>30200</v>
      </c>
      <c r="T125" s="544">
        <v>30200</v>
      </c>
      <c r="U125" s="544">
        <v>30200</v>
      </c>
      <c r="V125" s="680">
        <v>30650</v>
      </c>
      <c r="W125" s="681">
        <v>30750</v>
      </c>
      <c r="X125" s="682">
        <v>31650</v>
      </c>
      <c r="Y125" s="682">
        <v>32100</v>
      </c>
      <c r="Z125" s="682">
        <v>31050</v>
      </c>
      <c r="AA125" s="682">
        <v>32600</v>
      </c>
      <c r="AB125" s="682">
        <v>32800</v>
      </c>
      <c r="AC125" s="683">
        <v>31300</v>
      </c>
      <c r="AD125" s="683">
        <v>33450</v>
      </c>
      <c r="AE125" s="683">
        <v>34300</v>
      </c>
      <c r="AF125" s="683">
        <v>37700</v>
      </c>
      <c r="AG125" s="691">
        <v>38850</v>
      </c>
      <c r="AH125" s="691"/>
    </row>
    <row r="126" spans="2:34" ht="15" x14ac:dyDescent="0.25">
      <c r="B126" s="684" t="s">
        <v>330</v>
      </c>
      <c r="C126" s="679">
        <v>14600</v>
      </c>
      <c r="D126" s="679">
        <v>15550</v>
      </c>
      <c r="E126" s="679">
        <v>16000</v>
      </c>
      <c r="F126" s="679">
        <v>16050</v>
      </c>
      <c r="G126" s="679">
        <v>16300</v>
      </c>
      <c r="H126" s="679">
        <v>16300</v>
      </c>
      <c r="I126" s="679">
        <v>17150</v>
      </c>
      <c r="J126" s="679">
        <v>18050</v>
      </c>
      <c r="K126" s="679">
        <v>19100</v>
      </c>
      <c r="L126" s="544">
        <v>19350</v>
      </c>
      <c r="M126" s="544">
        <v>20550</v>
      </c>
      <c r="N126" s="544">
        <v>21600</v>
      </c>
      <c r="O126" s="544">
        <v>22100</v>
      </c>
      <c r="P126" s="544">
        <v>22450</v>
      </c>
      <c r="Q126" s="544">
        <v>23800</v>
      </c>
      <c r="R126" s="544">
        <v>24050</v>
      </c>
      <c r="S126" s="544">
        <v>24900</v>
      </c>
      <c r="T126" s="544">
        <v>24900</v>
      </c>
      <c r="U126" s="544">
        <v>25050</v>
      </c>
      <c r="V126" s="680">
        <v>26150</v>
      </c>
      <c r="W126" s="681">
        <v>26400</v>
      </c>
      <c r="X126" s="682">
        <v>26850</v>
      </c>
      <c r="Y126" s="682">
        <v>27200</v>
      </c>
      <c r="Z126" s="682">
        <v>27600</v>
      </c>
      <c r="AA126" s="682">
        <v>27400</v>
      </c>
      <c r="AB126" s="682">
        <v>28700</v>
      </c>
      <c r="AC126" s="683">
        <v>28650</v>
      </c>
      <c r="AD126" s="683">
        <v>30150</v>
      </c>
      <c r="AE126" s="683">
        <v>30550</v>
      </c>
      <c r="AF126" s="683">
        <v>30750</v>
      </c>
      <c r="AG126" s="691">
        <v>32300</v>
      </c>
      <c r="AH126" s="691"/>
    </row>
    <row r="127" spans="2:34" ht="15" x14ac:dyDescent="0.25">
      <c r="B127" s="684" t="s">
        <v>331</v>
      </c>
      <c r="C127" s="679">
        <v>19400</v>
      </c>
      <c r="D127" s="679">
        <v>20550</v>
      </c>
      <c r="E127" s="679">
        <v>21350</v>
      </c>
      <c r="F127" s="679">
        <v>21600</v>
      </c>
      <c r="G127" s="679">
        <v>22300</v>
      </c>
      <c r="H127" s="679">
        <v>22300</v>
      </c>
      <c r="I127" s="679">
        <v>23150</v>
      </c>
      <c r="J127" s="679">
        <v>23800</v>
      </c>
      <c r="K127" s="679">
        <v>24750</v>
      </c>
      <c r="L127" s="544">
        <v>25650</v>
      </c>
      <c r="M127" s="544">
        <v>27550</v>
      </c>
      <c r="N127" s="544">
        <v>31100</v>
      </c>
      <c r="O127" s="544">
        <v>32250</v>
      </c>
      <c r="P127" s="544">
        <v>33350</v>
      </c>
      <c r="Q127" s="544">
        <v>34200</v>
      </c>
      <c r="R127" s="544">
        <v>34200</v>
      </c>
      <c r="S127" s="544">
        <v>34200</v>
      </c>
      <c r="T127" s="544">
        <v>34200</v>
      </c>
      <c r="U127" s="544">
        <v>34200</v>
      </c>
      <c r="V127" s="680">
        <v>35200</v>
      </c>
      <c r="W127" s="681">
        <v>35250</v>
      </c>
      <c r="X127" s="682">
        <v>36150</v>
      </c>
      <c r="Y127" s="682">
        <v>36650</v>
      </c>
      <c r="Z127" s="682">
        <v>35600</v>
      </c>
      <c r="AA127" s="682">
        <v>34950</v>
      </c>
      <c r="AB127" s="682">
        <v>36650</v>
      </c>
      <c r="AC127" s="683">
        <v>36400</v>
      </c>
      <c r="AD127" s="683">
        <v>37400</v>
      </c>
      <c r="AE127" s="683">
        <v>40000</v>
      </c>
      <c r="AF127" s="683">
        <v>41350</v>
      </c>
      <c r="AG127" s="691">
        <v>43000</v>
      </c>
      <c r="AH127" s="691"/>
    </row>
    <row r="128" spans="2:34" ht="15" x14ac:dyDescent="0.25">
      <c r="B128" s="684" t="s">
        <v>332</v>
      </c>
      <c r="C128" s="679">
        <v>15100</v>
      </c>
      <c r="D128" s="679">
        <v>16300</v>
      </c>
      <c r="E128" s="679">
        <v>16650</v>
      </c>
      <c r="F128" s="679">
        <v>18250</v>
      </c>
      <c r="G128" s="679">
        <v>18300</v>
      </c>
      <c r="H128" s="679">
        <v>18650</v>
      </c>
      <c r="I128" s="679">
        <v>18650</v>
      </c>
      <c r="J128" s="679">
        <v>18650</v>
      </c>
      <c r="K128" s="679">
        <v>19100</v>
      </c>
      <c r="L128" s="544">
        <v>19350</v>
      </c>
      <c r="M128" s="544">
        <v>20550</v>
      </c>
      <c r="N128" s="544">
        <v>21650</v>
      </c>
      <c r="O128" s="544">
        <v>22100</v>
      </c>
      <c r="P128" s="544">
        <v>23350</v>
      </c>
      <c r="Q128" s="544">
        <v>25000</v>
      </c>
      <c r="R128" s="544">
        <v>25000</v>
      </c>
      <c r="S128" s="544">
        <v>26250</v>
      </c>
      <c r="T128" s="544">
        <v>26250</v>
      </c>
      <c r="U128" s="544">
        <v>26750</v>
      </c>
      <c r="V128" s="680">
        <v>27400</v>
      </c>
      <c r="W128" s="681">
        <v>27800</v>
      </c>
      <c r="X128" s="682">
        <v>26850</v>
      </c>
      <c r="Y128" s="682">
        <v>27200</v>
      </c>
      <c r="Z128" s="682">
        <v>27600</v>
      </c>
      <c r="AA128" s="682">
        <v>28950</v>
      </c>
      <c r="AB128" s="682">
        <v>28700</v>
      </c>
      <c r="AC128" s="683">
        <v>30100</v>
      </c>
      <c r="AD128" s="683">
        <v>32000</v>
      </c>
      <c r="AE128" s="683">
        <v>32350</v>
      </c>
      <c r="AF128" s="683">
        <v>31200</v>
      </c>
      <c r="AG128" s="691">
        <v>33650</v>
      </c>
      <c r="AH128" s="691"/>
    </row>
    <row r="129" spans="2:34" ht="15" x14ac:dyDescent="0.25">
      <c r="B129" s="684" t="s">
        <v>333</v>
      </c>
      <c r="C129" s="679">
        <v>14600</v>
      </c>
      <c r="D129" s="679">
        <v>15550</v>
      </c>
      <c r="E129" s="679">
        <v>16000</v>
      </c>
      <c r="F129" s="679">
        <v>16050</v>
      </c>
      <c r="G129" s="679">
        <v>16300</v>
      </c>
      <c r="H129" s="679">
        <v>16300</v>
      </c>
      <c r="I129" s="679">
        <v>17650</v>
      </c>
      <c r="J129" s="679">
        <v>18150</v>
      </c>
      <c r="K129" s="679">
        <v>19100</v>
      </c>
      <c r="L129" s="544">
        <v>19350</v>
      </c>
      <c r="M129" s="544">
        <v>20550</v>
      </c>
      <c r="N129" s="544">
        <v>21800</v>
      </c>
      <c r="O129" s="544">
        <v>22100</v>
      </c>
      <c r="P129" s="544">
        <v>23600</v>
      </c>
      <c r="Q129" s="544">
        <v>24600</v>
      </c>
      <c r="R129" s="544">
        <v>25400</v>
      </c>
      <c r="S129" s="544">
        <v>26600</v>
      </c>
      <c r="T129" s="544">
        <v>26600</v>
      </c>
      <c r="U129" s="544">
        <v>26900</v>
      </c>
      <c r="V129" s="680">
        <v>27950</v>
      </c>
      <c r="W129" s="681">
        <v>28350</v>
      </c>
      <c r="X129" s="682">
        <v>29250</v>
      </c>
      <c r="Y129" s="682">
        <v>29650</v>
      </c>
      <c r="Z129" s="682">
        <v>29300</v>
      </c>
      <c r="AA129" s="682">
        <v>28900</v>
      </c>
      <c r="AB129" s="682">
        <v>30500</v>
      </c>
      <c r="AC129" s="683">
        <v>29900</v>
      </c>
      <c r="AD129" s="683">
        <v>31550</v>
      </c>
      <c r="AE129" s="683">
        <v>34250</v>
      </c>
      <c r="AF129" s="683">
        <v>37650</v>
      </c>
      <c r="AG129" s="691">
        <v>37150</v>
      </c>
      <c r="AH129" s="691"/>
    </row>
    <row r="130" spans="2:34" ht="15" x14ac:dyDescent="0.25">
      <c r="B130" s="684" t="s">
        <v>334</v>
      </c>
      <c r="C130" s="679">
        <v>14600</v>
      </c>
      <c r="D130" s="679">
        <v>15550</v>
      </c>
      <c r="E130" s="679">
        <v>16000</v>
      </c>
      <c r="F130" s="679">
        <v>16100</v>
      </c>
      <c r="G130" s="679">
        <v>16300</v>
      </c>
      <c r="H130" s="679">
        <v>16300</v>
      </c>
      <c r="I130" s="679">
        <v>17150</v>
      </c>
      <c r="J130" s="679">
        <v>18050</v>
      </c>
      <c r="K130" s="679">
        <v>19100</v>
      </c>
      <c r="L130" s="544">
        <v>19350</v>
      </c>
      <c r="M130" s="544">
        <v>20550</v>
      </c>
      <c r="N130" s="544">
        <v>21600</v>
      </c>
      <c r="O130" s="544">
        <v>22100</v>
      </c>
      <c r="P130" s="544">
        <v>22450</v>
      </c>
      <c r="Q130" s="544">
        <v>23800</v>
      </c>
      <c r="R130" s="544">
        <v>24050</v>
      </c>
      <c r="S130" s="544">
        <v>24900</v>
      </c>
      <c r="T130" s="544">
        <v>24900</v>
      </c>
      <c r="U130" s="544">
        <v>25050</v>
      </c>
      <c r="V130" s="680">
        <v>26150</v>
      </c>
      <c r="W130" s="681">
        <v>26400</v>
      </c>
      <c r="X130" s="682">
        <v>26850</v>
      </c>
      <c r="Y130" s="682">
        <v>27200</v>
      </c>
      <c r="Z130" s="682">
        <v>27600</v>
      </c>
      <c r="AA130" s="682">
        <v>27400</v>
      </c>
      <c r="AB130" s="682">
        <v>28700</v>
      </c>
      <c r="AC130" s="683">
        <v>29600</v>
      </c>
      <c r="AD130" s="683">
        <v>30750</v>
      </c>
      <c r="AE130" s="683">
        <v>32100</v>
      </c>
      <c r="AF130" s="683">
        <v>32850</v>
      </c>
      <c r="AG130" s="691">
        <v>33300</v>
      </c>
      <c r="AH130" s="691"/>
    </row>
    <row r="131" spans="2:34" ht="15" x14ac:dyDescent="0.25">
      <c r="B131" s="684" t="s">
        <v>335</v>
      </c>
      <c r="C131" s="679">
        <v>14600</v>
      </c>
      <c r="D131" s="679">
        <v>15550</v>
      </c>
      <c r="E131" s="679">
        <v>16000</v>
      </c>
      <c r="F131" s="679">
        <v>16050</v>
      </c>
      <c r="G131" s="679">
        <v>16300</v>
      </c>
      <c r="H131" s="679">
        <v>16350</v>
      </c>
      <c r="I131" s="679">
        <v>17350</v>
      </c>
      <c r="J131" s="679">
        <v>18050</v>
      </c>
      <c r="K131" s="679">
        <v>19100</v>
      </c>
      <c r="L131" s="544">
        <v>19350</v>
      </c>
      <c r="M131" s="544">
        <v>20550</v>
      </c>
      <c r="N131" s="544">
        <v>21600</v>
      </c>
      <c r="O131" s="544">
        <v>22100</v>
      </c>
      <c r="P131" s="544">
        <v>22450</v>
      </c>
      <c r="Q131" s="544">
        <v>23800</v>
      </c>
      <c r="R131" s="544">
        <v>24050</v>
      </c>
      <c r="S131" s="544">
        <v>24900</v>
      </c>
      <c r="T131" s="544">
        <v>24900</v>
      </c>
      <c r="U131" s="544">
        <v>25050</v>
      </c>
      <c r="V131" s="680">
        <v>26150</v>
      </c>
      <c r="W131" s="681">
        <v>26400</v>
      </c>
      <c r="X131" s="682">
        <v>26850</v>
      </c>
      <c r="Y131" s="682">
        <v>27200</v>
      </c>
      <c r="Z131" s="682">
        <v>27600</v>
      </c>
      <c r="AA131" s="682">
        <v>27400</v>
      </c>
      <c r="AB131" s="682">
        <v>28700</v>
      </c>
      <c r="AC131" s="683">
        <v>28650</v>
      </c>
      <c r="AD131" s="683">
        <v>30150</v>
      </c>
      <c r="AE131" s="683">
        <v>30550</v>
      </c>
      <c r="AF131" s="683">
        <v>30750</v>
      </c>
      <c r="AG131" s="691">
        <v>32300</v>
      </c>
      <c r="AH131" s="691"/>
    </row>
    <row r="132" spans="2:34" ht="15" x14ac:dyDescent="0.25">
      <c r="B132" s="684" t="s">
        <v>336</v>
      </c>
      <c r="C132" s="679">
        <v>14600</v>
      </c>
      <c r="D132" s="679">
        <v>15550</v>
      </c>
      <c r="E132" s="679">
        <v>16000</v>
      </c>
      <c r="F132" s="679">
        <v>17500</v>
      </c>
      <c r="G132" s="679">
        <v>16300</v>
      </c>
      <c r="H132" s="679">
        <v>16300</v>
      </c>
      <c r="I132" s="679">
        <v>17650</v>
      </c>
      <c r="J132" s="679">
        <v>18150</v>
      </c>
      <c r="K132" s="679">
        <v>19100</v>
      </c>
      <c r="L132" s="544">
        <v>19350</v>
      </c>
      <c r="M132" s="544">
        <v>20550</v>
      </c>
      <c r="N132" s="544">
        <v>21600</v>
      </c>
      <c r="O132" s="544">
        <v>22100</v>
      </c>
      <c r="P132" s="544">
        <v>23150</v>
      </c>
      <c r="Q132" s="544">
        <v>23800</v>
      </c>
      <c r="R132" s="544">
        <v>24050</v>
      </c>
      <c r="S132" s="544">
        <v>25150</v>
      </c>
      <c r="T132" s="544">
        <v>25150</v>
      </c>
      <c r="U132" s="544">
        <v>25250</v>
      </c>
      <c r="V132" s="680">
        <v>26250</v>
      </c>
      <c r="W132" s="681">
        <v>26600</v>
      </c>
      <c r="X132" s="682">
        <v>26850</v>
      </c>
      <c r="Y132" s="682">
        <v>27200</v>
      </c>
      <c r="Z132" s="682">
        <v>28550</v>
      </c>
      <c r="AA132" s="682">
        <v>29950</v>
      </c>
      <c r="AB132" s="682">
        <v>31700</v>
      </c>
      <c r="AC132" s="683">
        <v>33250</v>
      </c>
      <c r="AD132" s="683">
        <v>33400</v>
      </c>
      <c r="AE132" s="683">
        <v>34450</v>
      </c>
      <c r="AF132" s="683">
        <v>35150</v>
      </c>
      <c r="AG132" s="691">
        <v>36250</v>
      </c>
      <c r="AH132" s="691"/>
    </row>
    <row r="133" spans="2:34" ht="15" x14ac:dyDescent="0.25">
      <c r="B133" s="684" t="s">
        <v>337</v>
      </c>
      <c r="C133" s="679">
        <v>19400</v>
      </c>
      <c r="D133" s="679">
        <v>20550</v>
      </c>
      <c r="E133" s="679">
        <v>21350</v>
      </c>
      <c r="F133" s="679">
        <v>21600</v>
      </c>
      <c r="G133" s="679">
        <v>22300</v>
      </c>
      <c r="H133" s="679">
        <v>22300</v>
      </c>
      <c r="I133" s="679">
        <v>23150</v>
      </c>
      <c r="J133" s="679">
        <v>23800</v>
      </c>
      <c r="K133" s="679">
        <v>24750</v>
      </c>
      <c r="L133" s="544">
        <v>25650</v>
      </c>
      <c r="M133" s="544">
        <v>27550</v>
      </c>
      <c r="N133" s="544">
        <v>31100</v>
      </c>
      <c r="O133" s="544">
        <v>32250</v>
      </c>
      <c r="P133" s="544">
        <v>33350</v>
      </c>
      <c r="Q133" s="544">
        <v>34200</v>
      </c>
      <c r="R133" s="544">
        <v>34200</v>
      </c>
      <c r="S133" s="544">
        <v>34200</v>
      </c>
      <c r="T133" s="544">
        <v>34200</v>
      </c>
      <c r="U133" s="544">
        <v>34200</v>
      </c>
      <c r="V133" s="680">
        <v>35200</v>
      </c>
      <c r="W133" s="681">
        <v>35250</v>
      </c>
      <c r="X133" s="682">
        <v>36150</v>
      </c>
      <c r="Y133" s="682">
        <v>36650</v>
      </c>
      <c r="Z133" s="682">
        <v>35600</v>
      </c>
      <c r="AA133" s="682">
        <v>34950</v>
      </c>
      <c r="AB133" s="682">
        <v>36650</v>
      </c>
      <c r="AC133" s="683">
        <v>36400</v>
      </c>
      <c r="AD133" s="683">
        <v>37400</v>
      </c>
      <c r="AE133" s="683">
        <v>40000</v>
      </c>
      <c r="AF133" s="683">
        <v>41350</v>
      </c>
      <c r="AG133" s="691">
        <v>43000</v>
      </c>
      <c r="AH133" s="691"/>
    </row>
    <row r="134" spans="2:34" ht="15" x14ac:dyDescent="0.25">
      <c r="B134" s="684" t="s">
        <v>338</v>
      </c>
      <c r="C134" s="679">
        <v>14600</v>
      </c>
      <c r="D134" s="679">
        <v>15550</v>
      </c>
      <c r="E134" s="679">
        <v>16000</v>
      </c>
      <c r="F134" s="679">
        <v>16050</v>
      </c>
      <c r="G134" s="679">
        <v>16300</v>
      </c>
      <c r="H134" s="679">
        <v>16300</v>
      </c>
      <c r="I134" s="679">
        <v>17150</v>
      </c>
      <c r="J134" s="679">
        <v>18050</v>
      </c>
      <c r="K134" s="679">
        <v>19100</v>
      </c>
      <c r="L134" s="544">
        <v>19350</v>
      </c>
      <c r="M134" s="544">
        <v>20550</v>
      </c>
      <c r="N134" s="544">
        <v>21600</v>
      </c>
      <c r="O134" s="544">
        <v>22100</v>
      </c>
      <c r="P134" s="544">
        <v>22450</v>
      </c>
      <c r="Q134" s="544">
        <v>23800</v>
      </c>
      <c r="R134" s="544">
        <v>24050</v>
      </c>
      <c r="S134" s="544">
        <v>24900</v>
      </c>
      <c r="T134" s="544">
        <v>24900</v>
      </c>
      <c r="U134" s="544">
        <v>25050</v>
      </c>
      <c r="V134" s="680">
        <v>26150</v>
      </c>
      <c r="W134" s="681">
        <v>26400</v>
      </c>
      <c r="X134" s="682">
        <v>27700</v>
      </c>
      <c r="Y134" s="682">
        <v>28050</v>
      </c>
      <c r="Z134" s="682">
        <v>27600</v>
      </c>
      <c r="AA134" s="682">
        <v>28350</v>
      </c>
      <c r="AB134" s="682">
        <v>28700</v>
      </c>
      <c r="AC134" s="683">
        <v>28650</v>
      </c>
      <c r="AD134" s="683">
        <v>30150</v>
      </c>
      <c r="AE134" s="683">
        <v>32800</v>
      </c>
      <c r="AF134" s="683">
        <v>33900</v>
      </c>
      <c r="AG134" s="691">
        <v>33600</v>
      </c>
      <c r="AH134" s="691"/>
    </row>
    <row r="135" spans="2:34" ht="15" x14ac:dyDescent="0.25">
      <c r="B135" s="684" t="s">
        <v>339</v>
      </c>
      <c r="C135" s="679">
        <v>14600</v>
      </c>
      <c r="D135" s="679">
        <v>15550</v>
      </c>
      <c r="E135" s="679">
        <v>16000</v>
      </c>
      <c r="F135" s="679">
        <v>16050</v>
      </c>
      <c r="G135" s="679">
        <v>16300</v>
      </c>
      <c r="H135" s="679">
        <v>16300</v>
      </c>
      <c r="I135" s="679">
        <v>17150</v>
      </c>
      <c r="J135" s="679">
        <v>18050</v>
      </c>
      <c r="K135" s="679">
        <v>19100</v>
      </c>
      <c r="L135" s="544">
        <v>19350</v>
      </c>
      <c r="M135" s="544">
        <v>20550</v>
      </c>
      <c r="N135" s="544">
        <v>21600</v>
      </c>
      <c r="O135" s="544">
        <v>22100</v>
      </c>
      <c r="P135" s="544">
        <v>22950</v>
      </c>
      <c r="Q135" s="544">
        <v>24950</v>
      </c>
      <c r="R135" s="544">
        <v>24950</v>
      </c>
      <c r="S135" s="544">
        <v>34200</v>
      </c>
      <c r="T135" s="544">
        <v>34200</v>
      </c>
      <c r="U135" s="544">
        <v>34200</v>
      </c>
      <c r="V135" s="680">
        <v>35200</v>
      </c>
      <c r="W135" s="681">
        <v>35250</v>
      </c>
      <c r="X135" s="682">
        <v>36150</v>
      </c>
      <c r="Y135" s="682">
        <v>36650</v>
      </c>
      <c r="Z135" s="682">
        <v>35600</v>
      </c>
      <c r="AA135" s="682">
        <v>34950</v>
      </c>
      <c r="AB135" s="682">
        <v>36650</v>
      </c>
      <c r="AC135" s="683">
        <v>36400</v>
      </c>
      <c r="AD135" s="683">
        <v>37400</v>
      </c>
      <c r="AE135" s="683">
        <v>40000</v>
      </c>
      <c r="AF135" s="683">
        <v>41350</v>
      </c>
      <c r="AG135" s="691">
        <v>43000</v>
      </c>
      <c r="AH135" s="691"/>
    </row>
    <row r="136" spans="2:34" ht="15" x14ac:dyDescent="0.25">
      <c r="B136" s="684" t="s">
        <v>340</v>
      </c>
      <c r="C136" s="679">
        <v>14600</v>
      </c>
      <c r="D136" s="679">
        <v>15550</v>
      </c>
      <c r="E136" s="679">
        <v>16000</v>
      </c>
      <c r="F136" s="679">
        <v>16050</v>
      </c>
      <c r="G136" s="679">
        <v>16300</v>
      </c>
      <c r="H136" s="679">
        <v>16300</v>
      </c>
      <c r="I136" s="679">
        <v>17150</v>
      </c>
      <c r="J136" s="679">
        <v>18050</v>
      </c>
      <c r="K136" s="679">
        <v>19100</v>
      </c>
      <c r="L136" s="544">
        <v>19350</v>
      </c>
      <c r="M136" s="544">
        <v>20550</v>
      </c>
      <c r="N136" s="544">
        <v>22100</v>
      </c>
      <c r="O136" s="544">
        <v>22200</v>
      </c>
      <c r="P136" s="544">
        <v>22450</v>
      </c>
      <c r="Q136" s="544">
        <v>23800</v>
      </c>
      <c r="R136" s="544">
        <v>24050</v>
      </c>
      <c r="S136" s="544">
        <v>24900</v>
      </c>
      <c r="T136" s="544">
        <v>24900</v>
      </c>
      <c r="U136" s="544">
        <v>25050</v>
      </c>
      <c r="V136" s="680">
        <v>26150</v>
      </c>
      <c r="W136" s="681">
        <v>26400</v>
      </c>
      <c r="X136" s="682">
        <v>26850</v>
      </c>
      <c r="Y136" s="682">
        <v>27200</v>
      </c>
      <c r="Z136" s="682">
        <v>28550</v>
      </c>
      <c r="AA136" s="682">
        <v>29950</v>
      </c>
      <c r="AB136" s="682">
        <v>31700</v>
      </c>
      <c r="AC136" s="683">
        <v>30500</v>
      </c>
      <c r="AD136" s="683">
        <v>32600</v>
      </c>
      <c r="AE136" s="683">
        <v>34000</v>
      </c>
      <c r="AF136" s="683">
        <v>33850</v>
      </c>
      <c r="AG136" s="691">
        <v>35300</v>
      </c>
      <c r="AH136" s="691"/>
    </row>
    <row r="137" spans="2:34" ht="15" x14ac:dyDescent="0.25">
      <c r="B137" s="684" t="s">
        <v>341</v>
      </c>
      <c r="C137" s="679">
        <v>17700</v>
      </c>
      <c r="D137" s="679">
        <v>18600</v>
      </c>
      <c r="E137" s="679">
        <v>18950</v>
      </c>
      <c r="F137" s="679">
        <v>17350</v>
      </c>
      <c r="G137" s="679">
        <v>17350</v>
      </c>
      <c r="H137" s="679">
        <v>17350</v>
      </c>
      <c r="I137" s="679">
        <v>17350</v>
      </c>
      <c r="J137" s="679">
        <v>18050</v>
      </c>
      <c r="K137" s="679">
        <v>19100</v>
      </c>
      <c r="L137" s="544">
        <v>19350</v>
      </c>
      <c r="M137" s="544">
        <v>20550</v>
      </c>
      <c r="N137" s="544">
        <v>21850</v>
      </c>
      <c r="O137" s="544">
        <v>22400</v>
      </c>
      <c r="P137" s="544">
        <v>22750</v>
      </c>
      <c r="Q137" s="544">
        <v>23850</v>
      </c>
      <c r="R137" s="544">
        <v>24500</v>
      </c>
      <c r="S137" s="544">
        <v>25600</v>
      </c>
      <c r="T137" s="544">
        <v>25600</v>
      </c>
      <c r="U137" s="544">
        <v>25600</v>
      </c>
      <c r="V137" s="680">
        <v>26500</v>
      </c>
      <c r="W137" s="681">
        <v>26400</v>
      </c>
      <c r="X137" s="682">
        <v>26850</v>
      </c>
      <c r="Y137" s="682">
        <v>27200</v>
      </c>
      <c r="Z137" s="682">
        <v>27600</v>
      </c>
      <c r="AA137" s="682">
        <v>27400</v>
      </c>
      <c r="AB137" s="682">
        <v>28700</v>
      </c>
      <c r="AC137" s="683">
        <v>28650</v>
      </c>
      <c r="AD137" s="683">
        <v>30150</v>
      </c>
      <c r="AE137" s="683">
        <v>30550</v>
      </c>
      <c r="AF137" s="683">
        <v>30750</v>
      </c>
      <c r="AG137" s="691">
        <v>32300</v>
      </c>
      <c r="AH137" s="691"/>
    </row>
    <row r="138" spans="2:34" ht="15" x14ac:dyDescent="0.25">
      <c r="B138" s="684" t="s">
        <v>342</v>
      </c>
      <c r="C138" s="679">
        <v>15900</v>
      </c>
      <c r="D138" s="679">
        <v>17000</v>
      </c>
      <c r="E138" s="679">
        <v>18250</v>
      </c>
      <c r="F138" s="679">
        <v>18600</v>
      </c>
      <c r="G138" s="679">
        <v>16750</v>
      </c>
      <c r="H138" s="679">
        <v>17150</v>
      </c>
      <c r="I138" s="679">
        <v>17750</v>
      </c>
      <c r="J138" s="679">
        <v>18150</v>
      </c>
      <c r="K138" s="679">
        <v>19100</v>
      </c>
      <c r="L138" s="544">
        <v>19350</v>
      </c>
      <c r="M138" s="544">
        <v>20550</v>
      </c>
      <c r="N138" s="544">
        <v>26000</v>
      </c>
      <c r="O138" s="544">
        <v>26850</v>
      </c>
      <c r="P138" s="544">
        <v>26850</v>
      </c>
      <c r="Q138" s="544">
        <v>26850</v>
      </c>
      <c r="R138" s="544">
        <v>27450</v>
      </c>
      <c r="S138" s="544">
        <v>28800</v>
      </c>
      <c r="T138" s="544">
        <v>28800</v>
      </c>
      <c r="U138" s="544">
        <v>28850</v>
      </c>
      <c r="V138" s="680">
        <v>30900</v>
      </c>
      <c r="W138" s="681">
        <v>31200</v>
      </c>
      <c r="X138" s="682">
        <v>32750</v>
      </c>
      <c r="Y138" s="682">
        <v>34250</v>
      </c>
      <c r="Z138" s="682">
        <v>35950</v>
      </c>
      <c r="AA138" s="682">
        <v>35550</v>
      </c>
      <c r="AB138" s="682">
        <v>36350</v>
      </c>
      <c r="AC138" s="683">
        <v>34900</v>
      </c>
      <c r="AD138" s="683">
        <v>35200</v>
      </c>
      <c r="AE138" s="683">
        <v>36550</v>
      </c>
      <c r="AF138" s="683">
        <v>36750</v>
      </c>
      <c r="AG138" s="691">
        <v>36450</v>
      </c>
      <c r="AH138" s="691"/>
    </row>
    <row r="139" spans="2:34" ht="15" x14ac:dyDescent="0.25">
      <c r="B139" s="684" t="s">
        <v>343</v>
      </c>
      <c r="C139" s="679">
        <v>14600</v>
      </c>
      <c r="D139" s="679">
        <v>15550</v>
      </c>
      <c r="E139" s="679">
        <v>16000</v>
      </c>
      <c r="F139" s="679">
        <v>16050</v>
      </c>
      <c r="G139" s="679">
        <v>16300</v>
      </c>
      <c r="H139" s="679">
        <v>16300</v>
      </c>
      <c r="I139" s="679">
        <v>17150</v>
      </c>
      <c r="J139" s="679">
        <v>18050</v>
      </c>
      <c r="K139" s="679">
        <v>19100</v>
      </c>
      <c r="L139" s="544">
        <v>19350</v>
      </c>
      <c r="M139" s="544">
        <v>20550</v>
      </c>
      <c r="N139" s="544">
        <v>21600</v>
      </c>
      <c r="O139" s="544">
        <v>22100</v>
      </c>
      <c r="P139" s="544">
        <v>22450</v>
      </c>
      <c r="Q139" s="544">
        <v>23800</v>
      </c>
      <c r="R139" s="544">
        <v>24050</v>
      </c>
      <c r="S139" s="544">
        <v>24900</v>
      </c>
      <c r="T139" s="544">
        <v>24900</v>
      </c>
      <c r="U139" s="544">
        <v>25050</v>
      </c>
      <c r="V139" s="680">
        <v>26150</v>
      </c>
      <c r="W139" s="681">
        <v>26400</v>
      </c>
      <c r="X139" s="682">
        <v>27700</v>
      </c>
      <c r="Y139" s="682">
        <v>28800</v>
      </c>
      <c r="Z139" s="682">
        <v>29700</v>
      </c>
      <c r="AA139" s="682">
        <v>29400</v>
      </c>
      <c r="AB139" s="682">
        <v>30450</v>
      </c>
      <c r="AC139" s="683">
        <v>29450</v>
      </c>
      <c r="AD139" s="683">
        <v>30500</v>
      </c>
      <c r="AE139" s="683">
        <v>31850</v>
      </c>
      <c r="AF139" s="683">
        <v>33050</v>
      </c>
      <c r="AG139" s="691">
        <v>33250</v>
      </c>
      <c r="AH139" s="691"/>
    </row>
    <row r="140" spans="2:34" ht="15" x14ac:dyDescent="0.25">
      <c r="B140" s="684" t="s">
        <v>344</v>
      </c>
      <c r="C140" s="679">
        <v>14600</v>
      </c>
      <c r="D140" s="679">
        <v>15550</v>
      </c>
      <c r="E140" s="679">
        <v>16000</v>
      </c>
      <c r="F140" s="679">
        <v>16050</v>
      </c>
      <c r="G140" s="679">
        <v>16300</v>
      </c>
      <c r="H140" s="679">
        <v>16300</v>
      </c>
      <c r="I140" s="679">
        <v>17150</v>
      </c>
      <c r="J140" s="679">
        <v>18050</v>
      </c>
      <c r="K140" s="679">
        <v>19100</v>
      </c>
      <c r="L140" s="544">
        <v>19350</v>
      </c>
      <c r="M140" s="544">
        <v>20550</v>
      </c>
      <c r="N140" s="544">
        <v>21600</v>
      </c>
      <c r="O140" s="544">
        <v>22100</v>
      </c>
      <c r="P140" s="544">
        <v>22450</v>
      </c>
      <c r="Q140" s="544">
        <v>23800</v>
      </c>
      <c r="R140" s="544">
        <v>24050</v>
      </c>
      <c r="S140" s="544">
        <v>24900</v>
      </c>
      <c r="T140" s="544">
        <v>24900</v>
      </c>
      <c r="U140" s="544">
        <v>25050</v>
      </c>
      <c r="V140" s="680">
        <v>26150</v>
      </c>
      <c r="W140" s="681">
        <v>26400</v>
      </c>
      <c r="X140" s="682">
        <v>27700</v>
      </c>
      <c r="Y140" s="682">
        <v>29050</v>
      </c>
      <c r="Z140" s="682">
        <v>29900</v>
      </c>
      <c r="AA140" s="682">
        <v>29200</v>
      </c>
      <c r="AB140" s="682">
        <v>29950</v>
      </c>
      <c r="AC140" s="683">
        <v>31100</v>
      </c>
      <c r="AD140" s="683">
        <v>31300</v>
      </c>
      <c r="AE140" s="683">
        <v>31600</v>
      </c>
      <c r="AF140" s="683">
        <v>33250</v>
      </c>
      <c r="AG140" s="691">
        <v>33300</v>
      </c>
      <c r="AH140" s="691"/>
    </row>
    <row r="141" spans="2:34" ht="15" x14ac:dyDescent="0.25">
      <c r="B141" s="684" t="s">
        <v>345</v>
      </c>
      <c r="C141" s="679">
        <v>14600</v>
      </c>
      <c r="D141" s="679">
        <v>15550</v>
      </c>
      <c r="E141" s="679">
        <v>16000</v>
      </c>
      <c r="F141" s="679">
        <v>16050</v>
      </c>
      <c r="G141" s="679">
        <v>16300</v>
      </c>
      <c r="H141" s="679">
        <v>16300</v>
      </c>
      <c r="I141" s="679">
        <v>17750</v>
      </c>
      <c r="J141" s="679">
        <v>18150</v>
      </c>
      <c r="K141" s="679">
        <v>19100</v>
      </c>
      <c r="L141" s="544">
        <v>19350</v>
      </c>
      <c r="M141" s="544">
        <v>20550</v>
      </c>
      <c r="N141" s="544">
        <v>23250</v>
      </c>
      <c r="O141" s="544">
        <v>23400</v>
      </c>
      <c r="P141" s="544">
        <v>23400</v>
      </c>
      <c r="Q141" s="544">
        <v>23800</v>
      </c>
      <c r="R141" s="544">
        <v>24050</v>
      </c>
      <c r="S141" s="544">
        <v>24900</v>
      </c>
      <c r="T141" s="544">
        <v>24900</v>
      </c>
      <c r="U141" s="544">
        <v>25050</v>
      </c>
      <c r="V141" s="680">
        <v>26150</v>
      </c>
      <c r="W141" s="681">
        <v>26400</v>
      </c>
      <c r="X141" s="682">
        <v>27200</v>
      </c>
      <c r="Y141" s="682">
        <v>27550</v>
      </c>
      <c r="Z141" s="682">
        <v>28000</v>
      </c>
      <c r="AA141" s="682">
        <v>28150</v>
      </c>
      <c r="AB141" s="682">
        <v>28700</v>
      </c>
      <c r="AC141" s="683">
        <v>28650</v>
      </c>
      <c r="AD141" s="683">
        <v>30150</v>
      </c>
      <c r="AE141" s="683">
        <v>31450</v>
      </c>
      <c r="AF141" s="683">
        <v>32550</v>
      </c>
      <c r="AG141" s="691">
        <v>33100</v>
      </c>
      <c r="AH141" s="691"/>
    </row>
    <row r="142" spans="2:34" ht="15" x14ac:dyDescent="0.25">
      <c r="B142" s="684" t="s">
        <v>346</v>
      </c>
      <c r="C142" s="679">
        <v>19400</v>
      </c>
      <c r="D142" s="679">
        <v>20550</v>
      </c>
      <c r="E142" s="679">
        <v>21350</v>
      </c>
      <c r="F142" s="679">
        <v>21600</v>
      </c>
      <c r="G142" s="679">
        <v>22300</v>
      </c>
      <c r="H142" s="679">
        <v>22300</v>
      </c>
      <c r="I142" s="679">
        <v>23150</v>
      </c>
      <c r="J142" s="679">
        <v>23800</v>
      </c>
      <c r="K142" s="679">
        <v>24750</v>
      </c>
      <c r="L142" s="544">
        <v>25650</v>
      </c>
      <c r="M142" s="544">
        <v>27550</v>
      </c>
      <c r="N142" s="544">
        <v>31100</v>
      </c>
      <c r="O142" s="544">
        <v>32250</v>
      </c>
      <c r="P142" s="544">
        <v>33350</v>
      </c>
      <c r="Q142" s="544">
        <v>34200</v>
      </c>
      <c r="R142" s="544">
        <v>34200</v>
      </c>
      <c r="S142" s="544">
        <v>34200</v>
      </c>
      <c r="T142" s="544">
        <v>34200</v>
      </c>
      <c r="U142" s="544">
        <v>34200</v>
      </c>
      <c r="V142" s="680">
        <v>35200</v>
      </c>
      <c r="W142" s="681">
        <v>35250</v>
      </c>
      <c r="X142" s="682">
        <v>36150</v>
      </c>
      <c r="Y142" s="682">
        <v>36650</v>
      </c>
      <c r="Z142" s="682">
        <v>35600</v>
      </c>
      <c r="AA142" s="682">
        <v>34950</v>
      </c>
      <c r="AB142" s="682">
        <v>36650</v>
      </c>
      <c r="AC142" s="683">
        <v>36400</v>
      </c>
      <c r="AD142" s="683">
        <v>37400</v>
      </c>
      <c r="AE142" s="683">
        <v>40000</v>
      </c>
      <c r="AF142" s="683">
        <v>41350</v>
      </c>
      <c r="AG142" s="691">
        <v>43000</v>
      </c>
      <c r="AH142" s="691"/>
    </row>
    <row r="143" spans="2:34" ht="15" x14ac:dyDescent="0.25">
      <c r="B143" s="684" t="s">
        <v>347</v>
      </c>
      <c r="C143" s="679">
        <v>14600</v>
      </c>
      <c r="D143" s="679">
        <v>15550</v>
      </c>
      <c r="E143" s="679">
        <v>16000</v>
      </c>
      <c r="F143" s="679">
        <v>16050</v>
      </c>
      <c r="G143" s="679">
        <v>16300</v>
      </c>
      <c r="H143" s="679">
        <v>16300</v>
      </c>
      <c r="I143" s="679">
        <v>17150</v>
      </c>
      <c r="J143" s="679">
        <v>18050</v>
      </c>
      <c r="K143" s="679">
        <v>19100</v>
      </c>
      <c r="L143" s="544">
        <v>19350</v>
      </c>
      <c r="M143" s="544">
        <v>20550</v>
      </c>
      <c r="N143" s="544">
        <v>23050</v>
      </c>
      <c r="O143" s="544">
        <v>23050</v>
      </c>
      <c r="P143" s="544">
        <v>23050</v>
      </c>
      <c r="Q143" s="544">
        <v>23800</v>
      </c>
      <c r="R143" s="544">
        <v>24050</v>
      </c>
      <c r="S143" s="544">
        <v>24900</v>
      </c>
      <c r="T143" s="544">
        <v>24900</v>
      </c>
      <c r="U143" s="544">
        <v>25050</v>
      </c>
      <c r="V143" s="680">
        <v>26300</v>
      </c>
      <c r="W143" s="681">
        <v>26700</v>
      </c>
      <c r="X143" s="682">
        <v>28000</v>
      </c>
      <c r="Y143" s="682">
        <v>29000</v>
      </c>
      <c r="Z143" s="682">
        <v>28950</v>
      </c>
      <c r="AA143" s="682">
        <v>28200</v>
      </c>
      <c r="AB143" s="682">
        <v>29800</v>
      </c>
      <c r="AC143" s="683">
        <v>31250</v>
      </c>
      <c r="AD143" s="683">
        <v>30450</v>
      </c>
      <c r="AE143" s="683">
        <v>33900</v>
      </c>
      <c r="AF143" s="683">
        <v>33050</v>
      </c>
      <c r="AG143" s="691">
        <v>33400</v>
      </c>
      <c r="AH143" s="691"/>
    </row>
    <row r="144" spans="2:34" ht="15" x14ac:dyDescent="0.25">
      <c r="B144" s="684" t="s">
        <v>348</v>
      </c>
      <c r="C144" s="679">
        <v>14600</v>
      </c>
      <c r="D144" s="679">
        <v>15550</v>
      </c>
      <c r="E144" s="679">
        <v>16000</v>
      </c>
      <c r="F144" s="679">
        <v>16050</v>
      </c>
      <c r="G144" s="679">
        <v>16300</v>
      </c>
      <c r="H144" s="679">
        <v>16300</v>
      </c>
      <c r="I144" s="679">
        <v>17150</v>
      </c>
      <c r="J144" s="679">
        <v>18050</v>
      </c>
      <c r="K144" s="679">
        <v>19100</v>
      </c>
      <c r="L144" s="544">
        <v>19350</v>
      </c>
      <c r="M144" s="544">
        <v>20550</v>
      </c>
      <c r="N144" s="544">
        <v>21600</v>
      </c>
      <c r="O144" s="544">
        <v>22100</v>
      </c>
      <c r="P144" s="544">
        <v>22450</v>
      </c>
      <c r="Q144" s="544">
        <v>23800</v>
      </c>
      <c r="R144" s="544">
        <v>24050</v>
      </c>
      <c r="S144" s="544">
        <v>24900</v>
      </c>
      <c r="T144" s="544">
        <v>24900</v>
      </c>
      <c r="U144" s="544">
        <v>25050</v>
      </c>
      <c r="V144" s="680">
        <v>26150</v>
      </c>
      <c r="W144" s="681">
        <v>26400</v>
      </c>
      <c r="X144" s="682">
        <v>26850</v>
      </c>
      <c r="Y144" s="682">
        <v>27200</v>
      </c>
      <c r="Z144" s="682">
        <v>27600</v>
      </c>
      <c r="AA144" s="682">
        <v>27700</v>
      </c>
      <c r="AB144" s="682">
        <v>28700</v>
      </c>
      <c r="AC144" s="683">
        <v>28650</v>
      </c>
      <c r="AD144" s="683">
        <v>30150</v>
      </c>
      <c r="AE144" s="683">
        <v>30550</v>
      </c>
      <c r="AF144" s="683">
        <v>30750</v>
      </c>
      <c r="AG144" s="691">
        <v>32300</v>
      </c>
      <c r="AH144" s="691"/>
    </row>
    <row r="145" spans="2:34" ht="15" x14ac:dyDescent="0.25">
      <c r="B145" s="684" t="s">
        <v>349</v>
      </c>
      <c r="C145" s="679">
        <v>14600</v>
      </c>
      <c r="D145" s="679">
        <v>15550</v>
      </c>
      <c r="E145" s="679">
        <v>16000</v>
      </c>
      <c r="F145" s="679">
        <v>16050</v>
      </c>
      <c r="G145" s="679">
        <v>16300</v>
      </c>
      <c r="H145" s="679">
        <v>16300</v>
      </c>
      <c r="I145" s="679">
        <v>17150</v>
      </c>
      <c r="J145" s="679">
        <v>18150</v>
      </c>
      <c r="K145" s="679">
        <v>19100</v>
      </c>
      <c r="L145" s="544">
        <v>19350</v>
      </c>
      <c r="M145" s="544">
        <v>20550</v>
      </c>
      <c r="N145" s="544">
        <v>21600</v>
      </c>
      <c r="O145" s="544">
        <v>22100</v>
      </c>
      <c r="P145" s="544">
        <v>22450</v>
      </c>
      <c r="Q145" s="544">
        <v>23800</v>
      </c>
      <c r="R145" s="544">
        <v>24050</v>
      </c>
      <c r="S145" s="544">
        <v>24900</v>
      </c>
      <c r="T145" s="544">
        <v>24900</v>
      </c>
      <c r="U145" s="544">
        <v>25050</v>
      </c>
      <c r="V145" s="680">
        <v>26150</v>
      </c>
      <c r="W145" s="681">
        <v>26400</v>
      </c>
      <c r="X145" s="682">
        <v>26900</v>
      </c>
      <c r="Y145" s="682">
        <v>27300</v>
      </c>
      <c r="Z145" s="682">
        <v>28650</v>
      </c>
      <c r="AA145" s="682">
        <v>29050</v>
      </c>
      <c r="AB145" s="682">
        <v>30100</v>
      </c>
      <c r="AC145" s="683">
        <v>29350</v>
      </c>
      <c r="AD145" s="683">
        <v>30250</v>
      </c>
      <c r="AE145" s="683">
        <v>30550</v>
      </c>
      <c r="AF145" s="683">
        <v>31200</v>
      </c>
      <c r="AG145" s="691">
        <v>33550</v>
      </c>
      <c r="AH145" s="691"/>
    </row>
    <row r="146" spans="2:34" ht="15" x14ac:dyDescent="0.25">
      <c r="B146" s="684" t="s">
        <v>350</v>
      </c>
      <c r="C146" s="679">
        <v>15900</v>
      </c>
      <c r="D146" s="679">
        <v>17150</v>
      </c>
      <c r="E146" s="679">
        <v>17550</v>
      </c>
      <c r="F146" s="679">
        <v>17650</v>
      </c>
      <c r="G146" s="679">
        <v>16700</v>
      </c>
      <c r="H146" s="679">
        <v>17100</v>
      </c>
      <c r="I146" s="679">
        <v>17750</v>
      </c>
      <c r="J146" s="679">
        <v>18150</v>
      </c>
      <c r="K146" s="679">
        <v>19100</v>
      </c>
      <c r="L146" s="544">
        <v>19350</v>
      </c>
      <c r="M146" s="544">
        <v>20550</v>
      </c>
      <c r="N146" s="544">
        <v>23950</v>
      </c>
      <c r="O146" s="544">
        <v>26250</v>
      </c>
      <c r="P146" s="544">
        <v>26250</v>
      </c>
      <c r="Q146" s="544">
        <v>26250</v>
      </c>
      <c r="R146" s="544">
        <v>26250</v>
      </c>
      <c r="S146" s="544">
        <v>26250</v>
      </c>
      <c r="T146" s="544">
        <v>26250</v>
      </c>
      <c r="U146" s="544">
        <v>26250</v>
      </c>
      <c r="V146" s="680">
        <v>27300</v>
      </c>
      <c r="W146" s="681">
        <v>27650</v>
      </c>
      <c r="X146" s="682">
        <v>26850</v>
      </c>
      <c r="Y146" s="682">
        <v>27200</v>
      </c>
      <c r="Z146" s="682">
        <v>28550</v>
      </c>
      <c r="AA146" s="682">
        <v>29950</v>
      </c>
      <c r="AB146" s="682">
        <v>28700</v>
      </c>
      <c r="AC146" s="683">
        <v>28650</v>
      </c>
      <c r="AD146" s="683">
        <v>30150</v>
      </c>
      <c r="AE146" s="683">
        <v>30550</v>
      </c>
      <c r="AF146" s="683">
        <v>30750</v>
      </c>
      <c r="AG146" s="691">
        <v>32300</v>
      </c>
      <c r="AH146" s="691"/>
    </row>
    <row r="147" spans="2:34" ht="15" x14ac:dyDescent="0.25">
      <c r="B147" s="684" t="s">
        <v>351</v>
      </c>
      <c r="C147" s="679">
        <v>14600</v>
      </c>
      <c r="D147" s="679">
        <v>15550</v>
      </c>
      <c r="E147" s="679">
        <v>16000</v>
      </c>
      <c r="F147" s="679">
        <v>16050</v>
      </c>
      <c r="G147" s="679">
        <v>16300</v>
      </c>
      <c r="H147" s="679">
        <v>16300</v>
      </c>
      <c r="I147" s="679">
        <v>17150</v>
      </c>
      <c r="J147" s="679">
        <v>18050</v>
      </c>
      <c r="K147" s="679">
        <v>19100</v>
      </c>
      <c r="L147" s="544">
        <v>19350</v>
      </c>
      <c r="M147" s="544">
        <v>20550</v>
      </c>
      <c r="N147" s="544">
        <v>21600</v>
      </c>
      <c r="O147" s="544">
        <v>22100</v>
      </c>
      <c r="P147" s="544">
        <v>22450</v>
      </c>
      <c r="Q147" s="544">
        <v>23800</v>
      </c>
      <c r="R147" s="544">
        <v>24050</v>
      </c>
      <c r="S147" s="544">
        <v>24900</v>
      </c>
      <c r="T147" s="544">
        <v>24900</v>
      </c>
      <c r="U147" s="544">
        <v>25050</v>
      </c>
      <c r="V147" s="680">
        <v>26250</v>
      </c>
      <c r="W147" s="681">
        <v>26600</v>
      </c>
      <c r="X147" s="682">
        <v>27900</v>
      </c>
      <c r="Y147" s="682">
        <v>29250</v>
      </c>
      <c r="Z147" s="682">
        <v>30350</v>
      </c>
      <c r="AA147" s="682">
        <v>30550</v>
      </c>
      <c r="AB147" s="682">
        <v>31350</v>
      </c>
      <c r="AC147" s="683">
        <v>31650</v>
      </c>
      <c r="AD147" s="683">
        <v>33700</v>
      </c>
      <c r="AE147" s="683">
        <v>35650</v>
      </c>
      <c r="AF147" s="683">
        <v>37300</v>
      </c>
      <c r="AG147" s="691">
        <v>38650</v>
      </c>
      <c r="AH147" s="691"/>
    </row>
    <row r="148" spans="2:34" ht="15" x14ac:dyDescent="0.25">
      <c r="B148" s="684" t="s">
        <v>352</v>
      </c>
      <c r="C148" s="679">
        <v>14600</v>
      </c>
      <c r="D148" s="679">
        <v>15550</v>
      </c>
      <c r="E148" s="679">
        <v>16000</v>
      </c>
      <c r="F148" s="679">
        <v>16050</v>
      </c>
      <c r="G148" s="679">
        <v>16300</v>
      </c>
      <c r="H148" s="679">
        <v>16300</v>
      </c>
      <c r="I148" s="679">
        <v>17150</v>
      </c>
      <c r="J148" s="679">
        <v>18050</v>
      </c>
      <c r="K148" s="679">
        <v>19100</v>
      </c>
      <c r="L148" s="544">
        <v>19350</v>
      </c>
      <c r="M148" s="544">
        <v>20550</v>
      </c>
      <c r="N148" s="544">
        <v>21750</v>
      </c>
      <c r="O148" s="544">
        <v>22100</v>
      </c>
      <c r="P148" s="544">
        <v>22450</v>
      </c>
      <c r="Q148" s="544">
        <v>23800</v>
      </c>
      <c r="R148" s="544">
        <v>24050</v>
      </c>
      <c r="S148" s="544">
        <v>24900</v>
      </c>
      <c r="T148" s="544">
        <v>24900</v>
      </c>
      <c r="U148" s="544">
        <v>25050</v>
      </c>
      <c r="V148" s="680">
        <v>26150</v>
      </c>
      <c r="W148" s="681">
        <v>26400</v>
      </c>
      <c r="X148" s="682">
        <v>26850</v>
      </c>
      <c r="Y148" s="682">
        <v>27200</v>
      </c>
      <c r="Z148" s="682">
        <v>27600</v>
      </c>
      <c r="AA148" s="682">
        <v>27400</v>
      </c>
      <c r="AB148" s="682">
        <v>28700</v>
      </c>
      <c r="AC148" s="683">
        <v>28650</v>
      </c>
      <c r="AD148" s="683">
        <v>30150</v>
      </c>
      <c r="AE148" s="683">
        <v>30550</v>
      </c>
      <c r="AF148" s="683">
        <v>30750</v>
      </c>
      <c r="AG148" s="691">
        <v>32300</v>
      </c>
      <c r="AH148" s="691"/>
    </row>
    <row r="149" spans="2:34" ht="15" x14ac:dyDescent="0.25">
      <c r="B149" s="684" t="s">
        <v>353</v>
      </c>
      <c r="C149" s="679">
        <v>14600</v>
      </c>
      <c r="D149" s="679">
        <v>15550</v>
      </c>
      <c r="E149" s="679">
        <v>16000</v>
      </c>
      <c r="F149" s="679">
        <v>16150</v>
      </c>
      <c r="G149" s="679">
        <v>16300</v>
      </c>
      <c r="H149" s="679">
        <v>16300</v>
      </c>
      <c r="I149" s="679">
        <v>17750</v>
      </c>
      <c r="J149" s="679">
        <v>18150</v>
      </c>
      <c r="K149" s="679">
        <v>19100</v>
      </c>
      <c r="L149" s="544">
        <v>19350</v>
      </c>
      <c r="M149" s="544">
        <v>20550</v>
      </c>
      <c r="N149" s="544">
        <v>21600</v>
      </c>
      <c r="O149" s="544">
        <v>22100</v>
      </c>
      <c r="P149" s="544">
        <v>22450</v>
      </c>
      <c r="Q149" s="544">
        <v>23800</v>
      </c>
      <c r="R149" s="544">
        <v>24050</v>
      </c>
      <c r="S149" s="544">
        <v>24900</v>
      </c>
      <c r="T149" s="544">
        <v>24900</v>
      </c>
      <c r="U149" s="544">
        <v>25050</v>
      </c>
      <c r="V149" s="680">
        <v>26150</v>
      </c>
      <c r="W149" s="681">
        <v>26400</v>
      </c>
      <c r="X149" s="682">
        <v>27700</v>
      </c>
      <c r="Y149" s="682">
        <v>28150</v>
      </c>
      <c r="Z149" s="682">
        <v>29550</v>
      </c>
      <c r="AA149" s="682">
        <v>29000</v>
      </c>
      <c r="AB149" s="682">
        <v>30700</v>
      </c>
      <c r="AC149" s="683">
        <v>31800</v>
      </c>
      <c r="AD149" s="683">
        <v>31800</v>
      </c>
      <c r="AE149" s="683">
        <v>31700</v>
      </c>
      <c r="AF149" s="683">
        <v>32450</v>
      </c>
      <c r="AG149" s="691">
        <v>32300</v>
      </c>
      <c r="AH149" s="691"/>
    </row>
    <row r="150" spans="2:34" ht="15" x14ac:dyDescent="0.25">
      <c r="B150" s="684" t="s">
        <v>354</v>
      </c>
      <c r="C150" s="679">
        <v>14600</v>
      </c>
      <c r="D150" s="679">
        <v>15550</v>
      </c>
      <c r="E150" s="679">
        <v>16000</v>
      </c>
      <c r="F150" s="679">
        <v>16050</v>
      </c>
      <c r="G150" s="679">
        <v>16300</v>
      </c>
      <c r="H150" s="679">
        <v>16300</v>
      </c>
      <c r="I150" s="679">
        <v>17750</v>
      </c>
      <c r="J150" s="679">
        <v>18150</v>
      </c>
      <c r="K150" s="679">
        <v>19100</v>
      </c>
      <c r="L150" s="544">
        <v>19350</v>
      </c>
      <c r="M150" s="544">
        <v>20550</v>
      </c>
      <c r="N150" s="544">
        <v>21600</v>
      </c>
      <c r="O150" s="544">
        <v>22100</v>
      </c>
      <c r="P150" s="544">
        <v>22450</v>
      </c>
      <c r="Q150" s="544">
        <v>23800</v>
      </c>
      <c r="R150" s="544">
        <v>24050</v>
      </c>
      <c r="S150" s="544">
        <v>24900</v>
      </c>
      <c r="T150" s="544">
        <v>24900</v>
      </c>
      <c r="U150" s="544">
        <v>25050</v>
      </c>
      <c r="V150" s="680">
        <v>26150</v>
      </c>
      <c r="W150" s="681">
        <v>26400</v>
      </c>
      <c r="X150" s="682">
        <v>26850</v>
      </c>
      <c r="Y150" s="682">
        <v>27250</v>
      </c>
      <c r="Z150" s="682">
        <v>28600</v>
      </c>
      <c r="AA150" s="682">
        <v>30000</v>
      </c>
      <c r="AB150" s="682">
        <v>31750</v>
      </c>
      <c r="AC150" s="683">
        <v>32400</v>
      </c>
      <c r="AD150" s="683">
        <v>32200</v>
      </c>
      <c r="AE150" s="683">
        <v>32750</v>
      </c>
      <c r="AF150" s="683">
        <v>32100</v>
      </c>
      <c r="AG150" s="691">
        <v>33700</v>
      </c>
      <c r="AH150" s="691"/>
    </row>
    <row r="151" spans="2:34" ht="15" x14ac:dyDescent="0.25">
      <c r="B151" s="684" t="s">
        <v>355</v>
      </c>
      <c r="C151" s="679">
        <v>14600</v>
      </c>
      <c r="D151" s="679">
        <v>15550</v>
      </c>
      <c r="E151" s="679">
        <v>16000</v>
      </c>
      <c r="F151" s="679">
        <v>16600</v>
      </c>
      <c r="G151" s="679">
        <v>16300</v>
      </c>
      <c r="H151" s="679">
        <v>16300</v>
      </c>
      <c r="I151" s="679">
        <v>17150</v>
      </c>
      <c r="J151" s="679">
        <v>18050</v>
      </c>
      <c r="K151" s="679">
        <v>19100</v>
      </c>
      <c r="L151" s="544">
        <v>19350</v>
      </c>
      <c r="M151" s="544">
        <v>20550</v>
      </c>
      <c r="N151" s="544">
        <v>21600</v>
      </c>
      <c r="O151" s="544">
        <v>22100</v>
      </c>
      <c r="P151" s="544">
        <v>23500</v>
      </c>
      <c r="Q151" s="544">
        <v>25200</v>
      </c>
      <c r="R151" s="544">
        <v>25800</v>
      </c>
      <c r="S151" s="544">
        <v>30200</v>
      </c>
      <c r="T151" s="544">
        <v>30200</v>
      </c>
      <c r="U151" s="544">
        <v>30200</v>
      </c>
      <c r="V151" s="680">
        <v>30650</v>
      </c>
      <c r="W151" s="681">
        <v>30750</v>
      </c>
      <c r="X151" s="682">
        <v>31650</v>
      </c>
      <c r="Y151" s="682">
        <v>32100</v>
      </c>
      <c r="Z151" s="682">
        <v>31050</v>
      </c>
      <c r="AA151" s="682">
        <v>32600</v>
      </c>
      <c r="AB151" s="682">
        <v>32800</v>
      </c>
      <c r="AC151" s="683">
        <v>31300</v>
      </c>
      <c r="AD151" s="683">
        <v>33450</v>
      </c>
      <c r="AE151" s="683">
        <v>34300</v>
      </c>
      <c r="AF151" s="683">
        <v>37700</v>
      </c>
      <c r="AG151" s="691">
        <v>38850</v>
      </c>
      <c r="AH151" s="691"/>
    </row>
    <row r="152" spans="2:34" ht="15" x14ac:dyDescent="0.25">
      <c r="B152" s="684" t="s">
        <v>356</v>
      </c>
      <c r="C152" s="679">
        <v>14600</v>
      </c>
      <c r="D152" s="679">
        <v>15550</v>
      </c>
      <c r="E152" s="679">
        <v>16000</v>
      </c>
      <c r="F152" s="679">
        <v>16050</v>
      </c>
      <c r="G152" s="679">
        <v>16300</v>
      </c>
      <c r="H152" s="679">
        <v>16300</v>
      </c>
      <c r="I152" s="679">
        <v>17150</v>
      </c>
      <c r="J152" s="679">
        <v>18050</v>
      </c>
      <c r="K152" s="679">
        <v>19100</v>
      </c>
      <c r="L152" s="544">
        <v>19350</v>
      </c>
      <c r="M152" s="544">
        <v>20550</v>
      </c>
      <c r="N152" s="544">
        <v>21600</v>
      </c>
      <c r="O152" s="544">
        <v>22100</v>
      </c>
      <c r="P152" s="544">
        <v>22450</v>
      </c>
      <c r="Q152" s="544">
        <v>23800</v>
      </c>
      <c r="R152" s="544">
        <v>24050</v>
      </c>
      <c r="S152" s="544">
        <v>24900</v>
      </c>
      <c r="T152" s="544">
        <v>24900</v>
      </c>
      <c r="U152" s="544">
        <v>25050</v>
      </c>
      <c r="V152" s="680">
        <v>26150</v>
      </c>
      <c r="W152" s="681">
        <v>26400</v>
      </c>
      <c r="X152" s="682">
        <v>26850</v>
      </c>
      <c r="Y152" s="682">
        <v>27200</v>
      </c>
      <c r="Z152" s="682">
        <v>27600</v>
      </c>
      <c r="AA152" s="682">
        <v>27400</v>
      </c>
      <c r="AB152" s="682">
        <v>28700</v>
      </c>
      <c r="AC152" s="683">
        <v>28650</v>
      </c>
      <c r="AD152" s="683">
        <v>30150</v>
      </c>
      <c r="AE152" s="683">
        <v>30550</v>
      </c>
      <c r="AF152" s="683">
        <v>30750</v>
      </c>
      <c r="AG152" s="691">
        <v>32300</v>
      </c>
      <c r="AH152" s="691"/>
    </row>
    <row r="153" spans="2:34" ht="15" x14ac:dyDescent="0.25">
      <c r="B153" s="684" t="s">
        <v>357</v>
      </c>
      <c r="C153" s="679">
        <v>14600</v>
      </c>
      <c r="D153" s="679">
        <v>15550</v>
      </c>
      <c r="E153" s="679">
        <v>16000</v>
      </c>
      <c r="F153" s="679">
        <v>16050</v>
      </c>
      <c r="G153" s="679">
        <v>16300</v>
      </c>
      <c r="H153" s="679">
        <v>16300</v>
      </c>
      <c r="I153" s="679">
        <v>17150</v>
      </c>
      <c r="J153" s="679">
        <v>18050</v>
      </c>
      <c r="K153" s="679">
        <v>19100</v>
      </c>
      <c r="L153" s="544">
        <v>19350</v>
      </c>
      <c r="M153" s="544">
        <v>20550</v>
      </c>
      <c r="N153" s="544">
        <v>21600</v>
      </c>
      <c r="O153" s="544">
        <v>22100</v>
      </c>
      <c r="P153" s="544">
        <v>24450</v>
      </c>
      <c r="Q153" s="544">
        <v>25450</v>
      </c>
      <c r="R153" s="544">
        <v>26200</v>
      </c>
      <c r="S153" s="544">
        <v>27350</v>
      </c>
      <c r="T153" s="544">
        <v>27350</v>
      </c>
      <c r="U153" s="544">
        <v>27500</v>
      </c>
      <c r="V153" s="680">
        <v>28900</v>
      </c>
      <c r="W153" s="681">
        <v>29300</v>
      </c>
      <c r="X153" s="682">
        <v>30750</v>
      </c>
      <c r="Y153" s="682">
        <v>31650</v>
      </c>
      <c r="Z153" s="682">
        <v>31750</v>
      </c>
      <c r="AA153" s="682">
        <v>31900</v>
      </c>
      <c r="AB153" s="682">
        <v>32600</v>
      </c>
      <c r="AC153" s="683">
        <v>33900</v>
      </c>
      <c r="AD153" s="683">
        <v>34850</v>
      </c>
      <c r="AE153" s="683">
        <v>34900</v>
      </c>
      <c r="AF153" s="683">
        <v>35100</v>
      </c>
      <c r="AG153" s="691">
        <v>35550</v>
      </c>
      <c r="AH153" s="691"/>
    </row>
    <row r="154" spans="2:34" ht="15" x14ac:dyDescent="0.25">
      <c r="B154" s="684" t="s">
        <v>358</v>
      </c>
      <c r="C154" s="679">
        <v>14800</v>
      </c>
      <c r="D154" s="679">
        <v>15550</v>
      </c>
      <c r="E154" s="679">
        <v>16100</v>
      </c>
      <c r="F154" s="679">
        <v>16500</v>
      </c>
      <c r="G154" s="679">
        <v>16300</v>
      </c>
      <c r="H154" s="679">
        <v>16300</v>
      </c>
      <c r="I154" s="679">
        <v>17400</v>
      </c>
      <c r="J154" s="679">
        <v>18050</v>
      </c>
      <c r="K154" s="679">
        <v>19100</v>
      </c>
      <c r="L154" s="544">
        <v>19350</v>
      </c>
      <c r="M154" s="544">
        <v>20550</v>
      </c>
      <c r="N154" s="544">
        <v>21600</v>
      </c>
      <c r="O154" s="544">
        <v>22100</v>
      </c>
      <c r="P154" s="544">
        <v>24600</v>
      </c>
      <c r="Q154" s="544">
        <v>26200</v>
      </c>
      <c r="R154" s="544">
        <v>26200</v>
      </c>
      <c r="S154" s="544">
        <v>27250</v>
      </c>
      <c r="T154" s="544">
        <v>27250</v>
      </c>
      <c r="U154" s="544">
        <v>27250</v>
      </c>
      <c r="V154" s="680">
        <v>28650</v>
      </c>
      <c r="W154" s="681">
        <v>29000</v>
      </c>
      <c r="X154" s="682">
        <v>27550</v>
      </c>
      <c r="Y154" s="682">
        <v>27200</v>
      </c>
      <c r="Z154" s="682">
        <v>27600</v>
      </c>
      <c r="AA154" s="682">
        <v>28950</v>
      </c>
      <c r="AB154" s="682">
        <v>30650</v>
      </c>
      <c r="AC154" s="683">
        <v>29150</v>
      </c>
      <c r="AD154" s="683">
        <v>31100</v>
      </c>
      <c r="AE154" s="683">
        <v>32450</v>
      </c>
      <c r="AF154" s="683">
        <v>30900</v>
      </c>
      <c r="AG154" s="691">
        <v>32300</v>
      </c>
      <c r="AH154" s="691"/>
    </row>
    <row r="155" spans="2:34" ht="15" x14ac:dyDescent="0.25">
      <c r="B155" s="684" t="s">
        <v>359</v>
      </c>
      <c r="C155" s="679">
        <v>14600</v>
      </c>
      <c r="D155" s="679">
        <v>15550</v>
      </c>
      <c r="E155" s="679">
        <v>16000</v>
      </c>
      <c r="F155" s="679">
        <v>16050</v>
      </c>
      <c r="G155" s="679">
        <v>16300</v>
      </c>
      <c r="H155" s="679">
        <v>16300</v>
      </c>
      <c r="I155" s="679">
        <v>17150</v>
      </c>
      <c r="J155" s="679">
        <v>18050</v>
      </c>
      <c r="K155" s="679">
        <v>19100</v>
      </c>
      <c r="L155" s="544">
        <v>19350</v>
      </c>
      <c r="M155" s="544">
        <v>20550</v>
      </c>
      <c r="N155" s="544">
        <v>21600</v>
      </c>
      <c r="O155" s="544">
        <v>22100</v>
      </c>
      <c r="P155" s="544">
        <v>22450</v>
      </c>
      <c r="Q155" s="544">
        <v>23800</v>
      </c>
      <c r="R155" s="544">
        <v>24050</v>
      </c>
      <c r="S155" s="544">
        <v>24900</v>
      </c>
      <c r="T155" s="544">
        <v>24900</v>
      </c>
      <c r="U155" s="544">
        <v>25050</v>
      </c>
      <c r="V155" s="680">
        <v>26150</v>
      </c>
      <c r="W155" s="681">
        <v>26450</v>
      </c>
      <c r="X155" s="682">
        <v>27750</v>
      </c>
      <c r="Y155" s="682">
        <v>28350</v>
      </c>
      <c r="Z155" s="682">
        <v>28800</v>
      </c>
      <c r="AA155" s="682">
        <v>28500</v>
      </c>
      <c r="AB155" s="682">
        <v>29700</v>
      </c>
      <c r="AC155" s="683">
        <v>28650</v>
      </c>
      <c r="AD155" s="683">
        <v>30650</v>
      </c>
      <c r="AE155" s="683">
        <v>30550</v>
      </c>
      <c r="AF155" s="683">
        <v>31400</v>
      </c>
      <c r="AG155" s="691">
        <v>32300</v>
      </c>
      <c r="AH155" s="691"/>
    </row>
    <row r="156" spans="2:34" ht="15" x14ac:dyDescent="0.25">
      <c r="B156" s="684" t="s">
        <v>360</v>
      </c>
      <c r="C156" s="679">
        <v>15050</v>
      </c>
      <c r="D156" s="679">
        <v>15950</v>
      </c>
      <c r="E156" s="679">
        <v>16000</v>
      </c>
      <c r="F156" s="679">
        <v>17150</v>
      </c>
      <c r="G156" s="679">
        <v>16300</v>
      </c>
      <c r="H156" s="679">
        <v>16300</v>
      </c>
      <c r="I156" s="679">
        <v>17750</v>
      </c>
      <c r="J156" s="679">
        <v>18150</v>
      </c>
      <c r="K156" s="679">
        <v>19100</v>
      </c>
      <c r="L156" s="544">
        <v>19350</v>
      </c>
      <c r="M156" s="544">
        <v>20550</v>
      </c>
      <c r="N156" s="544">
        <v>24700</v>
      </c>
      <c r="O156" s="544">
        <v>24800</v>
      </c>
      <c r="P156" s="544">
        <v>25600</v>
      </c>
      <c r="Q156" s="544">
        <v>26900</v>
      </c>
      <c r="R156" s="544">
        <v>26900</v>
      </c>
      <c r="S156" s="544">
        <v>28050</v>
      </c>
      <c r="T156" s="544">
        <v>28050</v>
      </c>
      <c r="U156" s="544">
        <v>28300</v>
      </c>
      <c r="V156" s="680">
        <v>29650</v>
      </c>
      <c r="W156" s="681">
        <v>28250</v>
      </c>
      <c r="X156" s="682">
        <v>29500</v>
      </c>
      <c r="Y156" s="682">
        <v>29900</v>
      </c>
      <c r="Z156" s="682">
        <v>30550</v>
      </c>
      <c r="AA156" s="682">
        <v>29800</v>
      </c>
      <c r="AB156" s="682">
        <v>31050</v>
      </c>
      <c r="AC156" s="683">
        <v>32600</v>
      </c>
      <c r="AD156" s="683">
        <v>34850</v>
      </c>
      <c r="AE156" s="683">
        <v>36100</v>
      </c>
      <c r="AF156" s="683">
        <v>39700</v>
      </c>
      <c r="AG156" s="691">
        <v>37750</v>
      </c>
      <c r="AH156" s="691"/>
    </row>
    <row r="157" spans="2:34" ht="15" x14ac:dyDescent="0.25">
      <c r="B157" s="684" t="s">
        <v>361</v>
      </c>
      <c r="C157" s="679">
        <v>15100</v>
      </c>
      <c r="D157" s="679">
        <v>15600</v>
      </c>
      <c r="E157" s="679">
        <v>16400</v>
      </c>
      <c r="F157" s="679">
        <v>17450</v>
      </c>
      <c r="G157" s="679">
        <v>17650</v>
      </c>
      <c r="H157" s="679">
        <v>17650</v>
      </c>
      <c r="I157" s="679">
        <v>17750</v>
      </c>
      <c r="J157" s="679">
        <v>18150</v>
      </c>
      <c r="K157" s="679">
        <v>19100</v>
      </c>
      <c r="L157" s="544">
        <v>19350</v>
      </c>
      <c r="M157" s="544">
        <v>20550</v>
      </c>
      <c r="N157" s="544">
        <v>22550</v>
      </c>
      <c r="O157" s="544">
        <v>23150</v>
      </c>
      <c r="P157" s="544">
        <v>23200</v>
      </c>
      <c r="Q157" s="544">
        <v>24500</v>
      </c>
      <c r="R157" s="544">
        <v>24600</v>
      </c>
      <c r="S157" s="544">
        <v>25800</v>
      </c>
      <c r="T157" s="544">
        <v>25800</v>
      </c>
      <c r="U157" s="544">
        <v>26150</v>
      </c>
      <c r="V157" s="680">
        <v>27050</v>
      </c>
      <c r="W157" s="681">
        <v>27450</v>
      </c>
      <c r="X157" s="682">
        <v>28800</v>
      </c>
      <c r="Y157" s="682">
        <v>29300</v>
      </c>
      <c r="Z157" s="682">
        <v>29900</v>
      </c>
      <c r="AA157" s="682">
        <v>28450</v>
      </c>
      <c r="AB157" s="682">
        <v>30100</v>
      </c>
      <c r="AC157" s="683">
        <v>30800</v>
      </c>
      <c r="AD157" s="683">
        <v>31850</v>
      </c>
      <c r="AE157" s="683">
        <v>33000</v>
      </c>
      <c r="AF157" s="683">
        <v>33000</v>
      </c>
      <c r="AG157" s="691">
        <v>35250</v>
      </c>
      <c r="AH157" s="691"/>
    </row>
    <row r="158" spans="2:34" ht="15" x14ac:dyDescent="0.25">
      <c r="B158" s="684" t="s">
        <v>362</v>
      </c>
      <c r="C158" s="679">
        <v>14600</v>
      </c>
      <c r="D158" s="679">
        <v>15550</v>
      </c>
      <c r="E158" s="679">
        <v>16000</v>
      </c>
      <c r="F158" s="679">
        <v>16050</v>
      </c>
      <c r="G158" s="679">
        <v>16300</v>
      </c>
      <c r="H158" s="679">
        <v>16300</v>
      </c>
      <c r="I158" s="679">
        <v>17150</v>
      </c>
      <c r="J158" s="679">
        <v>18050</v>
      </c>
      <c r="K158" s="679">
        <v>19100</v>
      </c>
      <c r="L158" s="544">
        <v>19350</v>
      </c>
      <c r="M158" s="544">
        <v>20550</v>
      </c>
      <c r="N158" s="544">
        <v>22400</v>
      </c>
      <c r="O158" s="544">
        <v>22400</v>
      </c>
      <c r="P158" s="544">
        <v>22450</v>
      </c>
      <c r="Q158" s="544">
        <v>23800</v>
      </c>
      <c r="R158" s="544">
        <v>24050</v>
      </c>
      <c r="S158" s="544">
        <v>24900</v>
      </c>
      <c r="T158" s="544">
        <v>24900</v>
      </c>
      <c r="U158" s="544">
        <v>25050</v>
      </c>
      <c r="V158" s="680">
        <v>26150</v>
      </c>
      <c r="W158" s="681">
        <v>26400</v>
      </c>
      <c r="X158" s="682">
        <v>26850</v>
      </c>
      <c r="Y158" s="682">
        <v>27200</v>
      </c>
      <c r="Z158" s="682">
        <v>27600</v>
      </c>
      <c r="AA158" s="682">
        <v>27400</v>
      </c>
      <c r="AB158" s="682">
        <v>28700</v>
      </c>
      <c r="AC158" s="683">
        <v>28650</v>
      </c>
      <c r="AD158" s="683">
        <v>30150</v>
      </c>
      <c r="AE158" s="683">
        <v>30650</v>
      </c>
      <c r="AF158" s="683">
        <v>32400</v>
      </c>
      <c r="AG158" s="691">
        <v>33600</v>
      </c>
      <c r="AH158" s="691"/>
    </row>
    <row r="159" spans="2:34" ht="15" x14ac:dyDescent="0.25">
      <c r="B159" s="684" t="s">
        <v>363</v>
      </c>
      <c r="C159" s="679">
        <v>15800</v>
      </c>
      <c r="D159" s="679">
        <v>16900</v>
      </c>
      <c r="E159" s="679">
        <v>18150</v>
      </c>
      <c r="F159" s="679">
        <v>16950</v>
      </c>
      <c r="G159" s="679">
        <v>17100</v>
      </c>
      <c r="H159" s="679">
        <v>17250</v>
      </c>
      <c r="I159" s="679">
        <v>17750</v>
      </c>
      <c r="J159" s="679">
        <v>18150</v>
      </c>
      <c r="K159" s="679">
        <v>19100</v>
      </c>
      <c r="L159" s="544">
        <v>19350</v>
      </c>
      <c r="M159" s="544">
        <v>20550</v>
      </c>
      <c r="N159" s="544">
        <v>23700</v>
      </c>
      <c r="O159" s="544">
        <v>23900</v>
      </c>
      <c r="P159" s="544">
        <v>23900</v>
      </c>
      <c r="Q159" s="544">
        <v>23900</v>
      </c>
      <c r="R159" s="544">
        <v>24200</v>
      </c>
      <c r="S159" s="544">
        <v>25250</v>
      </c>
      <c r="T159" s="544">
        <v>25250</v>
      </c>
      <c r="U159" s="544">
        <v>25300</v>
      </c>
      <c r="V159" s="680">
        <v>26150</v>
      </c>
      <c r="W159" s="681">
        <v>26400</v>
      </c>
      <c r="X159" s="682">
        <v>26850</v>
      </c>
      <c r="Y159" s="682">
        <v>27200</v>
      </c>
      <c r="Z159" s="682">
        <v>27600</v>
      </c>
      <c r="AA159" s="682">
        <v>27400</v>
      </c>
      <c r="AB159" s="682">
        <v>28700</v>
      </c>
      <c r="AC159" s="683">
        <v>28650</v>
      </c>
      <c r="AD159" s="683">
        <v>30150</v>
      </c>
      <c r="AE159" s="683">
        <v>30550</v>
      </c>
      <c r="AF159" s="683">
        <v>30750</v>
      </c>
      <c r="AG159" s="691">
        <v>32300</v>
      </c>
      <c r="AH159" s="691"/>
    </row>
    <row r="160" spans="2:34" ht="15" x14ac:dyDescent="0.25">
      <c r="B160" s="684" t="s">
        <v>364</v>
      </c>
      <c r="C160" s="679">
        <v>14600</v>
      </c>
      <c r="D160" s="679">
        <v>15550</v>
      </c>
      <c r="E160" s="679">
        <v>16000</v>
      </c>
      <c r="F160" s="679">
        <v>16050</v>
      </c>
      <c r="G160" s="679">
        <v>16300</v>
      </c>
      <c r="H160" s="679">
        <v>16300</v>
      </c>
      <c r="I160" s="679">
        <v>17150</v>
      </c>
      <c r="J160" s="679">
        <v>18050</v>
      </c>
      <c r="K160" s="679">
        <v>19100</v>
      </c>
      <c r="L160" s="544">
        <v>19350</v>
      </c>
      <c r="M160" s="544">
        <v>20550</v>
      </c>
      <c r="N160" s="544">
        <v>21600</v>
      </c>
      <c r="O160" s="544">
        <v>22100</v>
      </c>
      <c r="P160" s="544">
        <v>22450</v>
      </c>
      <c r="Q160" s="544">
        <v>23800</v>
      </c>
      <c r="R160" s="544">
        <v>24050</v>
      </c>
      <c r="S160" s="544">
        <v>24900</v>
      </c>
      <c r="T160" s="544">
        <v>24900</v>
      </c>
      <c r="U160" s="544">
        <v>25050</v>
      </c>
      <c r="V160" s="680">
        <v>26150</v>
      </c>
      <c r="W160" s="681">
        <v>26400</v>
      </c>
      <c r="X160" s="682">
        <v>26850</v>
      </c>
      <c r="Y160" s="682">
        <v>27200</v>
      </c>
      <c r="Z160" s="682">
        <v>27600</v>
      </c>
      <c r="AA160" s="682">
        <v>28450</v>
      </c>
      <c r="AB160" s="682">
        <v>28750</v>
      </c>
      <c r="AC160" s="683">
        <v>28650</v>
      </c>
      <c r="AD160" s="683">
        <v>30150</v>
      </c>
      <c r="AE160" s="683">
        <v>30550</v>
      </c>
      <c r="AF160" s="683">
        <v>30750</v>
      </c>
      <c r="AG160" s="691">
        <v>32450</v>
      </c>
      <c r="AH160" s="691"/>
    </row>
    <row r="161" spans="2:34" ht="15" x14ac:dyDescent="0.25">
      <c r="B161" s="684" t="s">
        <v>365</v>
      </c>
      <c r="C161" s="679">
        <v>15100</v>
      </c>
      <c r="D161" s="679">
        <v>16100</v>
      </c>
      <c r="E161" s="679">
        <v>17300</v>
      </c>
      <c r="F161" s="679">
        <v>16050</v>
      </c>
      <c r="G161" s="679">
        <v>16300</v>
      </c>
      <c r="H161" s="679">
        <v>16300</v>
      </c>
      <c r="I161" s="679">
        <v>17150</v>
      </c>
      <c r="J161" s="679">
        <v>18050</v>
      </c>
      <c r="K161" s="679">
        <v>19100</v>
      </c>
      <c r="L161" s="544">
        <v>19350</v>
      </c>
      <c r="M161" s="544">
        <v>20550</v>
      </c>
      <c r="N161" s="544">
        <v>21600</v>
      </c>
      <c r="O161" s="544">
        <v>22100</v>
      </c>
      <c r="P161" s="544">
        <v>22450</v>
      </c>
      <c r="Q161" s="544">
        <v>23800</v>
      </c>
      <c r="R161" s="544">
        <v>24050</v>
      </c>
      <c r="S161" s="544">
        <v>24900</v>
      </c>
      <c r="T161" s="544">
        <v>24900</v>
      </c>
      <c r="U161" s="544">
        <v>25050</v>
      </c>
      <c r="V161" s="680">
        <v>26150</v>
      </c>
      <c r="W161" s="681">
        <v>26400</v>
      </c>
      <c r="X161" s="682">
        <v>26850</v>
      </c>
      <c r="Y161" s="682">
        <v>27200</v>
      </c>
      <c r="Z161" s="682">
        <v>27600</v>
      </c>
      <c r="AA161" s="682">
        <v>28950</v>
      </c>
      <c r="AB161" s="682">
        <v>29300</v>
      </c>
      <c r="AC161" s="683">
        <v>29350</v>
      </c>
      <c r="AD161" s="683">
        <v>31400</v>
      </c>
      <c r="AE161" s="683">
        <v>33150</v>
      </c>
      <c r="AF161" s="683">
        <v>33100</v>
      </c>
      <c r="AG161" s="691">
        <v>32800</v>
      </c>
      <c r="AH161" s="691"/>
    </row>
    <row r="162" spans="2:34" ht="15" x14ac:dyDescent="0.25">
      <c r="B162" s="684" t="s">
        <v>366</v>
      </c>
      <c r="C162" s="679">
        <v>14600</v>
      </c>
      <c r="D162" s="679">
        <v>15550</v>
      </c>
      <c r="E162" s="679">
        <v>16000</v>
      </c>
      <c r="F162" s="679">
        <v>16350</v>
      </c>
      <c r="G162" s="679">
        <v>16800</v>
      </c>
      <c r="H162" s="679">
        <v>17100</v>
      </c>
      <c r="I162" s="679">
        <v>17150</v>
      </c>
      <c r="J162" s="679">
        <v>18200</v>
      </c>
      <c r="K162" s="679">
        <v>19350</v>
      </c>
      <c r="L162" s="544">
        <v>20500</v>
      </c>
      <c r="M162" s="544">
        <v>20700</v>
      </c>
      <c r="N162" s="544">
        <v>22100</v>
      </c>
      <c r="O162" s="544">
        <v>23200</v>
      </c>
      <c r="P162" s="544">
        <v>25800</v>
      </c>
      <c r="Q162" s="544">
        <v>27750</v>
      </c>
      <c r="R162" s="544">
        <v>27750</v>
      </c>
      <c r="S162" s="544">
        <v>28100</v>
      </c>
      <c r="T162" s="544">
        <v>28100</v>
      </c>
      <c r="U162" s="544">
        <v>28200</v>
      </c>
      <c r="V162" s="680">
        <v>29150</v>
      </c>
      <c r="W162" s="681">
        <v>28250</v>
      </c>
      <c r="X162" s="682">
        <v>29500</v>
      </c>
      <c r="Y162" s="682">
        <v>29900</v>
      </c>
      <c r="Z162" s="682">
        <v>30550</v>
      </c>
      <c r="AA162" s="682">
        <v>29800</v>
      </c>
      <c r="AB162" s="682">
        <v>31050</v>
      </c>
      <c r="AC162" s="683">
        <v>32600</v>
      </c>
      <c r="AD162" s="683">
        <v>34850</v>
      </c>
      <c r="AE162" s="683">
        <v>36100</v>
      </c>
      <c r="AF162" s="683">
        <v>39700</v>
      </c>
      <c r="AG162" s="691">
        <v>37750</v>
      </c>
      <c r="AH162" s="691"/>
    </row>
    <row r="163" spans="2:34" ht="15" x14ac:dyDescent="0.25">
      <c r="B163" s="684" t="s">
        <v>367</v>
      </c>
      <c r="C163" s="679">
        <v>14600</v>
      </c>
      <c r="D163" s="679">
        <v>15550</v>
      </c>
      <c r="E163" s="679">
        <v>16000</v>
      </c>
      <c r="F163" s="679">
        <v>16050</v>
      </c>
      <c r="G163" s="679">
        <v>16300</v>
      </c>
      <c r="H163" s="679">
        <v>16300</v>
      </c>
      <c r="I163" s="679">
        <v>17150</v>
      </c>
      <c r="J163" s="679">
        <v>18050</v>
      </c>
      <c r="K163" s="679">
        <v>19100</v>
      </c>
      <c r="L163" s="544">
        <v>19350</v>
      </c>
      <c r="M163" s="544">
        <v>20550</v>
      </c>
      <c r="N163" s="544">
        <v>21600</v>
      </c>
      <c r="O163" s="544">
        <v>22100</v>
      </c>
      <c r="P163" s="544">
        <v>22450</v>
      </c>
      <c r="Q163" s="544">
        <v>23800</v>
      </c>
      <c r="R163" s="544">
        <v>24050</v>
      </c>
      <c r="S163" s="544">
        <v>24900</v>
      </c>
      <c r="T163" s="544">
        <v>24900</v>
      </c>
      <c r="U163" s="544">
        <v>25050</v>
      </c>
      <c r="V163" s="680">
        <v>26150</v>
      </c>
      <c r="W163" s="681">
        <v>26400</v>
      </c>
      <c r="X163" s="682">
        <v>26850</v>
      </c>
      <c r="Y163" s="682">
        <v>27200</v>
      </c>
      <c r="Z163" s="682">
        <v>27600</v>
      </c>
      <c r="AA163" s="682">
        <v>27400</v>
      </c>
      <c r="AB163" s="682">
        <v>28700</v>
      </c>
      <c r="AC163" s="683">
        <v>28650</v>
      </c>
      <c r="AD163" s="683">
        <v>30150</v>
      </c>
      <c r="AE163" s="683">
        <v>30550</v>
      </c>
      <c r="AF163" s="683">
        <v>31900</v>
      </c>
      <c r="AG163" s="691">
        <v>32300</v>
      </c>
      <c r="AH163" s="691"/>
    </row>
    <row r="164" spans="2:34" ht="15" x14ac:dyDescent="0.25">
      <c r="B164" s="684" t="s">
        <v>368</v>
      </c>
      <c r="C164" s="679">
        <v>14600</v>
      </c>
      <c r="D164" s="679">
        <v>15550</v>
      </c>
      <c r="E164" s="679">
        <v>16000</v>
      </c>
      <c r="F164" s="679">
        <v>16050</v>
      </c>
      <c r="G164" s="679">
        <v>16300</v>
      </c>
      <c r="H164" s="679">
        <v>16300</v>
      </c>
      <c r="I164" s="679">
        <v>17150</v>
      </c>
      <c r="J164" s="679">
        <v>18050</v>
      </c>
      <c r="K164" s="679">
        <v>19100</v>
      </c>
      <c r="L164" s="544">
        <v>19350</v>
      </c>
      <c r="M164" s="544">
        <v>20550</v>
      </c>
      <c r="N164" s="544">
        <v>21600</v>
      </c>
      <c r="O164" s="544">
        <v>22100</v>
      </c>
      <c r="P164" s="544">
        <v>22450</v>
      </c>
      <c r="Q164" s="544">
        <v>23800</v>
      </c>
      <c r="R164" s="544">
        <v>24050</v>
      </c>
      <c r="S164" s="544">
        <v>24900</v>
      </c>
      <c r="T164" s="544">
        <v>24900</v>
      </c>
      <c r="U164" s="544">
        <v>25050</v>
      </c>
      <c r="V164" s="680">
        <v>26150</v>
      </c>
      <c r="W164" s="681">
        <v>26400</v>
      </c>
      <c r="X164" s="682">
        <v>26850</v>
      </c>
      <c r="Y164" s="682">
        <v>27200</v>
      </c>
      <c r="Z164" s="682">
        <v>27600</v>
      </c>
      <c r="AA164" s="682">
        <v>27400</v>
      </c>
      <c r="AB164" s="682">
        <v>28700</v>
      </c>
      <c r="AC164" s="683">
        <v>28650</v>
      </c>
      <c r="AD164" s="683">
        <v>30150</v>
      </c>
      <c r="AE164" s="683">
        <v>30550</v>
      </c>
      <c r="AF164" s="683">
        <v>32150</v>
      </c>
      <c r="AG164" s="691">
        <v>34250</v>
      </c>
      <c r="AH164" s="691"/>
    </row>
    <row r="165" spans="2:34" ht="15" x14ac:dyDescent="0.25">
      <c r="B165" s="684" t="s">
        <v>369</v>
      </c>
      <c r="C165" s="679">
        <v>14600</v>
      </c>
      <c r="D165" s="679">
        <v>15550</v>
      </c>
      <c r="E165" s="679">
        <v>16000</v>
      </c>
      <c r="F165" s="679">
        <v>16050</v>
      </c>
      <c r="G165" s="679">
        <v>16300</v>
      </c>
      <c r="H165" s="679">
        <v>16300</v>
      </c>
      <c r="I165" s="679">
        <v>17150</v>
      </c>
      <c r="J165" s="679">
        <v>18050</v>
      </c>
      <c r="K165" s="679">
        <v>19100</v>
      </c>
      <c r="L165" s="544">
        <v>19350</v>
      </c>
      <c r="M165" s="544">
        <v>20550</v>
      </c>
      <c r="N165" s="544">
        <v>21600</v>
      </c>
      <c r="O165" s="544">
        <v>22100</v>
      </c>
      <c r="P165" s="544">
        <v>22450</v>
      </c>
      <c r="Q165" s="544">
        <v>23800</v>
      </c>
      <c r="R165" s="544">
        <v>24050</v>
      </c>
      <c r="S165" s="544">
        <v>24900</v>
      </c>
      <c r="T165" s="544">
        <v>24900</v>
      </c>
      <c r="U165" s="544">
        <v>25050</v>
      </c>
      <c r="V165" s="680">
        <v>26150</v>
      </c>
      <c r="W165" s="681">
        <v>26400</v>
      </c>
      <c r="X165" s="682">
        <v>27700</v>
      </c>
      <c r="Y165" s="682">
        <v>28250</v>
      </c>
      <c r="Z165" s="682">
        <v>27600</v>
      </c>
      <c r="AA165" s="682">
        <v>27400</v>
      </c>
      <c r="AB165" s="682">
        <v>28700</v>
      </c>
      <c r="AC165" s="683">
        <v>28650</v>
      </c>
      <c r="AD165" s="683">
        <v>30150</v>
      </c>
      <c r="AE165" s="683">
        <v>30550</v>
      </c>
      <c r="AF165" s="683">
        <v>30750</v>
      </c>
      <c r="AG165" s="691">
        <v>32300</v>
      </c>
      <c r="AH165" s="691"/>
    </row>
    <row r="166" spans="2:34" ht="15" x14ac:dyDescent="0.25">
      <c r="B166" s="684" t="s">
        <v>370</v>
      </c>
      <c r="C166" s="679">
        <v>16850</v>
      </c>
      <c r="D166" s="679">
        <v>17250</v>
      </c>
      <c r="E166" s="679">
        <v>17800</v>
      </c>
      <c r="F166" s="679">
        <v>17800</v>
      </c>
      <c r="G166" s="679">
        <v>18050</v>
      </c>
      <c r="H166" s="679">
        <v>18050</v>
      </c>
      <c r="I166" s="679">
        <v>18250</v>
      </c>
      <c r="J166" s="679">
        <v>18650</v>
      </c>
      <c r="K166" s="679">
        <v>21200</v>
      </c>
      <c r="L166" s="544">
        <v>21700</v>
      </c>
      <c r="M166" s="544">
        <v>22800</v>
      </c>
      <c r="N166" s="544">
        <v>24450</v>
      </c>
      <c r="O166" s="544">
        <v>24700</v>
      </c>
      <c r="P166" s="544">
        <v>24850</v>
      </c>
      <c r="Q166" s="544">
        <v>26300</v>
      </c>
      <c r="R166" s="544">
        <v>26500</v>
      </c>
      <c r="S166" s="544">
        <v>27800</v>
      </c>
      <c r="T166" s="544">
        <v>27800</v>
      </c>
      <c r="U166" s="544">
        <v>27800</v>
      </c>
      <c r="V166" s="680">
        <v>29050</v>
      </c>
      <c r="W166" s="681">
        <v>29900</v>
      </c>
      <c r="X166" s="682">
        <v>29650</v>
      </c>
      <c r="Y166" s="682">
        <v>30050</v>
      </c>
      <c r="Z166" s="682">
        <v>30500</v>
      </c>
      <c r="AA166" s="682">
        <v>29800</v>
      </c>
      <c r="AB166" s="682">
        <v>29950</v>
      </c>
      <c r="AC166" s="683">
        <v>28700</v>
      </c>
      <c r="AD166" s="683">
        <v>30150</v>
      </c>
      <c r="AE166" s="683">
        <v>31350</v>
      </c>
      <c r="AF166" s="683">
        <v>32550</v>
      </c>
      <c r="AG166" s="691">
        <v>35100</v>
      </c>
      <c r="AH166" s="691"/>
    </row>
    <row r="167" spans="2:34" ht="15" x14ac:dyDescent="0.25">
      <c r="B167" s="684" t="s">
        <v>371</v>
      </c>
      <c r="C167" s="679">
        <v>14600</v>
      </c>
      <c r="D167" s="679">
        <v>15550</v>
      </c>
      <c r="E167" s="679">
        <v>16000</v>
      </c>
      <c r="F167" s="679">
        <v>16750</v>
      </c>
      <c r="G167" s="679">
        <v>16800</v>
      </c>
      <c r="H167" s="679">
        <v>17050</v>
      </c>
      <c r="I167" s="679">
        <v>17750</v>
      </c>
      <c r="J167" s="679">
        <v>18150</v>
      </c>
      <c r="K167" s="679">
        <v>19100</v>
      </c>
      <c r="L167" s="544">
        <v>19350</v>
      </c>
      <c r="M167" s="544">
        <v>20550</v>
      </c>
      <c r="N167" s="544">
        <v>22500</v>
      </c>
      <c r="O167" s="544">
        <v>23200</v>
      </c>
      <c r="P167" s="544">
        <v>26800</v>
      </c>
      <c r="Q167" s="544">
        <v>27600</v>
      </c>
      <c r="R167" s="544">
        <v>28750</v>
      </c>
      <c r="S167" s="544">
        <v>30200</v>
      </c>
      <c r="T167" s="544">
        <v>30200</v>
      </c>
      <c r="U167" s="544">
        <v>30300</v>
      </c>
      <c r="V167" s="680">
        <v>31750</v>
      </c>
      <c r="W167" s="681">
        <v>32150</v>
      </c>
      <c r="X167" s="682">
        <v>33650</v>
      </c>
      <c r="Y167" s="682">
        <v>34100</v>
      </c>
      <c r="Z167" s="682">
        <v>34550</v>
      </c>
      <c r="AA167" s="682">
        <v>33000</v>
      </c>
      <c r="AB167" s="682">
        <v>33700</v>
      </c>
      <c r="AC167" s="683">
        <v>32050</v>
      </c>
      <c r="AD167" s="683">
        <v>30450</v>
      </c>
      <c r="AE167" s="683">
        <v>30550</v>
      </c>
      <c r="AF167" s="683">
        <v>32850</v>
      </c>
      <c r="AG167" s="691">
        <v>35450</v>
      </c>
      <c r="AH167" s="691"/>
    </row>
    <row r="168" spans="2:34" ht="15" x14ac:dyDescent="0.25">
      <c r="B168" s="684" t="s">
        <v>372</v>
      </c>
      <c r="C168" s="679">
        <v>20100</v>
      </c>
      <c r="D168" s="679">
        <v>21450</v>
      </c>
      <c r="E168" s="679">
        <v>22450</v>
      </c>
      <c r="F168" s="679">
        <v>20600</v>
      </c>
      <c r="G168" s="679">
        <v>21200</v>
      </c>
      <c r="H168" s="679">
        <v>21200</v>
      </c>
      <c r="I168" s="679">
        <v>22250</v>
      </c>
      <c r="J168" s="679">
        <v>22900</v>
      </c>
      <c r="K168" s="679">
        <v>24500</v>
      </c>
      <c r="L168" s="544">
        <v>25000</v>
      </c>
      <c r="M168" s="544">
        <v>25300</v>
      </c>
      <c r="N168" s="544">
        <v>29500</v>
      </c>
      <c r="O168" s="544">
        <v>29500</v>
      </c>
      <c r="P168" s="544">
        <v>29500</v>
      </c>
      <c r="Q168" s="544">
        <v>29500</v>
      </c>
      <c r="R168" s="544">
        <v>29500</v>
      </c>
      <c r="S168" s="544">
        <v>30600</v>
      </c>
      <c r="T168" s="544">
        <v>30600</v>
      </c>
      <c r="U168" s="544">
        <v>30600</v>
      </c>
      <c r="V168" s="680">
        <v>31450</v>
      </c>
      <c r="W168" s="681">
        <v>31850</v>
      </c>
      <c r="X168" s="682">
        <v>32050</v>
      </c>
      <c r="Y168" s="682">
        <v>32500</v>
      </c>
      <c r="Z168" s="682">
        <v>31600</v>
      </c>
      <c r="AA168" s="682">
        <v>32950</v>
      </c>
      <c r="AB168" s="682">
        <v>31350</v>
      </c>
      <c r="AC168" s="683">
        <v>32600</v>
      </c>
      <c r="AD168" s="683">
        <v>33200</v>
      </c>
      <c r="AE168" s="683">
        <v>34700</v>
      </c>
      <c r="AF168" s="683">
        <v>36450</v>
      </c>
      <c r="AG168" s="691">
        <v>36300</v>
      </c>
      <c r="AH168" s="691"/>
    </row>
    <row r="169" spans="2:34" ht="15" x14ac:dyDescent="0.25">
      <c r="B169" s="684" t="s">
        <v>373</v>
      </c>
      <c r="C169" s="679">
        <v>16900</v>
      </c>
      <c r="D169" s="679">
        <v>17400</v>
      </c>
      <c r="E169" s="679">
        <v>17950</v>
      </c>
      <c r="F169" s="679">
        <v>17100</v>
      </c>
      <c r="G169" s="679">
        <v>18200</v>
      </c>
      <c r="H169" s="679">
        <v>18200</v>
      </c>
      <c r="I169" s="679">
        <v>19300</v>
      </c>
      <c r="J169" s="679">
        <v>20250</v>
      </c>
      <c r="K169" s="679">
        <v>20750</v>
      </c>
      <c r="L169" s="544">
        <v>21750</v>
      </c>
      <c r="M169" s="544">
        <v>22650</v>
      </c>
      <c r="N169" s="544">
        <v>24500</v>
      </c>
      <c r="O169" s="544">
        <v>24600</v>
      </c>
      <c r="P169" s="544">
        <v>24600</v>
      </c>
      <c r="Q169" s="544">
        <v>24600</v>
      </c>
      <c r="R169" s="544">
        <v>24600</v>
      </c>
      <c r="S169" s="544">
        <v>24900</v>
      </c>
      <c r="T169" s="544">
        <v>24900</v>
      </c>
      <c r="U169" s="544">
        <v>25050</v>
      </c>
      <c r="V169" s="680">
        <v>26150</v>
      </c>
      <c r="W169" s="681">
        <v>26400</v>
      </c>
      <c r="X169" s="682">
        <v>26850</v>
      </c>
      <c r="Y169" s="682">
        <v>27200</v>
      </c>
      <c r="Z169" s="682">
        <v>27600</v>
      </c>
      <c r="AA169" s="682">
        <v>27400</v>
      </c>
      <c r="AB169" s="682">
        <v>28700</v>
      </c>
      <c r="AC169" s="683">
        <v>28650</v>
      </c>
      <c r="AD169" s="683">
        <v>30150</v>
      </c>
      <c r="AE169" s="683">
        <v>30550</v>
      </c>
      <c r="AF169" s="683">
        <v>30750</v>
      </c>
      <c r="AG169" s="691">
        <v>32300</v>
      </c>
      <c r="AH169" s="691"/>
    </row>
    <row r="170" spans="2:34" ht="15" x14ac:dyDescent="0.25">
      <c r="B170" s="684" t="s">
        <v>374</v>
      </c>
      <c r="C170" s="679">
        <v>18650</v>
      </c>
      <c r="D170" s="679">
        <v>19950</v>
      </c>
      <c r="E170" s="679">
        <v>20300</v>
      </c>
      <c r="F170" s="679">
        <v>20600</v>
      </c>
      <c r="G170" s="679">
        <v>21400</v>
      </c>
      <c r="H170" s="679">
        <v>21400</v>
      </c>
      <c r="I170" s="679">
        <v>22350</v>
      </c>
      <c r="J170" s="679">
        <v>22950</v>
      </c>
      <c r="K170" s="679">
        <v>23350</v>
      </c>
      <c r="L170" s="544">
        <v>23700</v>
      </c>
      <c r="M170" s="544">
        <v>24000</v>
      </c>
      <c r="N170" s="544">
        <v>29100</v>
      </c>
      <c r="O170" s="544">
        <v>29600</v>
      </c>
      <c r="P170" s="544">
        <v>29600</v>
      </c>
      <c r="Q170" s="544">
        <v>29600</v>
      </c>
      <c r="R170" s="544">
        <v>29600</v>
      </c>
      <c r="S170" s="544">
        <v>30200</v>
      </c>
      <c r="T170" s="544">
        <v>30200</v>
      </c>
      <c r="U170" s="544">
        <v>30200</v>
      </c>
      <c r="V170" s="680">
        <v>30650</v>
      </c>
      <c r="W170" s="681">
        <v>30750</v>
      </c>
      <c r="X170" s="682">
        <v>31650</v>
      </c>
      <c r="Y170" s="682">
        <v>32100</v>
      </c>
      <c r="Z170" s="682">
        <v>31050</v>
      </c>
      <c r="AA170" s="682">
        <v>32600</v>
      </c>
      <c r="AB170" s="682">
        <v>32800</v>
      </c>
      <c r="AC170" s="683">
        <v>31300</v>
      </c>
      <c r="AD170" s="683">
        <v>33450</v>
      </c>
      <c r="AE170" s="683">
        <v>34300</v>
      </c>
      <c r="AF170" s="683">
        <v>37700</v>
      </c>
      <c r="AG170" s="691">
        <v>38850</v>
      </c>
      <c r="AH170" s="691"/>
    </row>
    <row r="171" spans="2:34" ht="15" x14ac:dyDescent="0.25">
      <c r="B171" s="684" t="s">
        <v>375</v>
      </c>
      <c r="C171" s="679">
        <v>14600</v>
      </c>
      <c r="D171" s="679">
        <v>15550</v>
      </c>
      <c r="E171" s="679">
        <v>16000</v>
      </c>
      <c r="F171" s="679">
        <v>16050</v>
      </c>
      <c r="G171" s="679">
        <v>16300</v>
      </c>
      <c r="H171" s="679">
        <v>16300</v>
      </c>
      <c r="I171" s="679">
        <v>17150</v>
      </c>
      <c r="J171" s="679">
        <v>18050</v>
      </c>
      <c r="K171" s="679">
        <v>19100</v>
      </c>
      <c r="L171" s="544">
        <v>19350</v>
      </c>
      <c r="M171" s="544">
        <v>20550</v>
      </c>
      <c r="N171" s="544">
        <v>21600</v>
      </c>
      <c r="O171" s="544">
        <v>22100</v>
      </c>
      <c r="P171" s="544">
        <v>22450</v>
      </c>
      <c r="Q171" s="544">
        <v>23800</v>
      </c>
      <c r="R171" s="544">
        <v>24050</v>
      </c>
      <c r="S171" s="544">
        <v>24900</v>
      </c>
      <c r="T171" s="544">
        <v>24900</v>
      </c>
      <c r="U171" s="544">
        <v>25050</v>
      </c>
      <c r="V171" s="680">
        <v>26150</v>
      </c>
      <c r="W171" s="681">
        <v>26400</v>
      </c>
      <c r="X171" s="682">
        <v>27000</v>
      </c>
      <c r="Y171" s="682">
        <v>27350</v>
      </c>
      <c r="Z171" s="682">
        <v>28100</v>
      </c>
      <c r="AA171" s="682">
        <v>29050</v>
      </c>
      <c r="AB171" s="682">
        <v>29050</v>
      </c>
      <c r="AC171" s="683">
        <v>29400</v>
      </c>
      <c r="AD171" s="683">
        <v>30650</v>
      </c>
      <c r="AE171" s="683">
        <v>32950</v>
      </c>
      <c r="AF171" s="683">
        <v>33950</v>
      </c>
      <c r="AG171" s="691">
        <v>36600</v>
      </c>
      <c r="AH171" s="691"/>
    </row>
    <row r="172" spans="2:34" ht="15" x14ac:dyDescent="0.25">
      <c r="B172" s="684" t="s">
        <v>376</v>
      </c>
      <c r="C172" s="679">
        <v>14600</v>
      </c>
      <c r="D172" s="679">
        <v>15550</v>
      </c>
      <c r="E172" s="679">
        <v>16000</v>
      </c>
      <c r="F172" s="679">
        <v>16050</v>
      </c>
      <c r="G172" s="679">
        <v>16300</v>
      </c>
      <c r="H172" s="679">
        <v>16300</v>
      </c>
      <c r="I172" s="679">
        <v>17150</v>
      </c>
      <c r="J172" s="679">
        <v>18050</v>
      </c>
      <c r="K172" s="679">
        <v>19100</v>
      </c>
      <c r="L172" s="544">
        <v>19350</v>
      </c>
      <c r="M172" s="544">
        <v>20550</v>
      </c>
      <c r="N172" s="544">
        <v>21600</v>
      </c>
      <c r="O172" s="544">
        <v>22100</v>
      </c>
      <c r="P172" s="544">
        <v>22450</v>
      </c>
      <c r="Q172" s="544">
        <v>23800</v>
      </c>
      <c r="R172" s="544">
        <v>24050</v>
      </c>
      <c r="S172" s="544">
        <v>24900</v>
      </c>
      <c r="T172" s="544">
        <v>24900</v>
      </c>
      <c r="U172" s="544">
        <v>25050</v>
      </c>
      <c r="V172" s="680">
        <v>26150</v>
      </c>
      <c r="W172" s="681">
        <v>26400</v>
      </c>
      <c r="X172" s="682">
        <v>27700</v>
      </c>
      <c r="Y172" s="682">
        <v>28100</v>
      </c>
      <c r="Z172" s="682">
        <v>27600</v>
      </c>
      <c r="AA172" s="682">
        <v>27400</v>
      </c>
      <c r="AB172" s="682">
        <v>28700</v>
      </c>
      <c r="AC172" s="683">
        <v>28650</v>
      </c>
      <c r="AD172" s="683">
        <v>30150</v>
      </c>
      <c r="AE172" s="683">
        <v>30550</v>
      </c>
      <c r="AF172" s="683">
        <v>30750</v>
      </c>
      <c r="AG172" s="691">
        <v>32300</v>
      </c>
      <c r="AH172" s="691"/>
    </row>
    <row r="173" spans="2:34" ht="15" x14ac:dyDescent="0.25">
      <c r="B173" s="684" t="s">
        <v>377</v>
      </c>
      <c r="C173" s="679">
        <v>14600</v>
      </c>
      <c r="D173" s="679">
        <v>15550</v>
      </c>
      <c r="E173" s="679">
        <v>16000</v>
      </c>
      <c r="F173" s="679">
        <v>16050</v>
      </c>
      <c r="G173" s="679">
        <v>16300</v>
      </c>
      <c r="H173" s="679">
        <v>16300</v>
      </c>
      <c r="I173" s="679">
        <v>17150</v>
      </c>
      <c r="J173" s="679">
        <v>18050</v>
      </c>
      <c r="K173" s="679">
        <v>19100</v>
      </c>
      <c r="L173" s="544">
        <v>19350</v>
      </c>
      <c r="M173" s="544">
        <v>20550</v>
      </c>
      <c r="N173" s="544">
        <v>21600</v>
      </c>
      <c r="O173" s="544">
        <v>22100</v>
      </c>
      <c r="P173" s="544">
        <v>22450</v>
      </c>
      <c r="Q173" s="544">
        <v>23800</v>
      </c>
      <c r="R173" s="544">
        <v>24050</v>
      </c>
      <c r="S173" s="544">
        <v>24900</v>
      </c>
      <c r="T173" s="544">
        <v>24900</v>
      </c>
      <c r="U173" s="544">
        <v>25050</v>
      </c>
      <c r="V173" s="680">
        <v>26150</v>
      </c>
      <c r="W173" s="681">
        <v>26400</v>
      </c>
      <c r="X173" s="682">
        <v>26850</v>
      </c>
      <c r="Y173" s="682">
        <v>27200</v>
      </c>
      <c r="Z173" s="682">
        <v>27600</v>
      </c>
      <c r="AA173" s="682">
        <v>27400</v>
      </c>
      <c r="AB173" s="682">
        <v>28700</v>
      </c>
      <c r="AC173" s="683">
        <v>28650</v>
      </c>
      <c r="AD173" s="683">
        <v>30150</v>
      </c>
      <c r="AE173" s="683">
        <v>30550</v>
      </c>
      <c r="AF173" s="683">
        <v>30750</v>
      </c>
      <c r="AG173" s="691">
        <v>32300</v>
      </c>
      <c r="AH173" s="691"/>
    </row>
    <row r="174" spans="2:34" ht="15" x14ac:dyDescent="0.25">
      <c r="B174" s="684" t="s">
        <v>378</v>
      </c>
      <c r="C174" s="679">
        <v>14600</v>
      </c>
      <c r="D174" s="679">
        <v>15550</v>
      </c>
      <c r="E174" s="679">
        <v>16000</v>
      </c>
      <c r="F174" s="679">
        <v>16050</v>
      </c>
      <c r="G174" s="679">
        <v>16300</v>
      </c>
      <c r="H174" s="679">
        <v>16300</v>
      </c>
      <c r="I174" s="679">
        <v>17150</v>
      </c>
      <c r="J174" s="679">
        <v>18050</v>
      </c>
      <c r="K174" s="679">
        <v>19100</v>
      </c>
      <c r="L174" s="544">
        <v>19350</v>
      </c>
      <c r="M174" s="544">
        <v>20550</v>
      </c>
      <c r="N174" s="544">
        <v>21600</v>
      </c>
      <c r="O174" s="544">
        <v>22100</v>
      </c>
      <c r="P174" s="544">
        <v>22450</v>
      </c>
      <c r="Q174" s="544">
        <v>23800</v>
      </c>
      <c r="R174" s="544">
        <v>24050</v>
      </c>
      <c r="S174" s="544">
        <v>24900</v>
      </c>
      <c r="T174" s="544">
        <v>24900</v>
      </c>
      <c r="U174" s="544">
        <v>25050</v>
      </c>
      <c r="V174" s="680">
        <v>26150</v>
      </c>
      <c r="W174" s="681">
        <v>26400</v>
      </c>
      <c r="X174" s="682">
        <v>26850</v>
      </c>
      <c r="Y174" s="682">
        <v>27200</v>
      </c>
      <c r="Z174" s="682">
        <v>27600</v>
      </c>
      <c r="AA174" s="682">
        <v>28450</v>
      </c>
      <c r="AB174" s="682">
        <v>30050</v>
      </c>
      <c r="AC174" s="683">
        <v>29100</v>
      </c>
      <c r="AD174" s="683">
        <v>30150</v>
      </c>
      <c r="AE174" s="683">
        <v>31600</v>
      </c>
      <c r="AF174" s="683">
        <v>33150</v>
      </c>
      <c r="AG174" s="691">
        <v>32350</v>
      </c>
      <c r="AH174" s="691"/>
    </row>
    <row r="175" spans="2:34" ht="15" x14ac:dyDescent="0.25">
      <c r="B175" s="684" t="s">
        <v>379</v>
      </c>
      <c r="C175" s="679">
        <v>14600</v>
      </c>
      <c r="D175" s="679">
        <v>15550</v>
      </c>
      <c r="E175" s="679">
        <v>16000</v>
      </c>
      <c r="F175" s="679">
        <v>16600</v>
      </c>
      <c r="G175" s="679">
        <v>16300</v>
      </c>
      <c r="H175" s="679">
        <v>16300</v>
      </c>
      <c r="I175" s="679">
        <v>17150</v>
      </c>
      <c r="J175" s="679">
        <v>18050</v>
      </c>
      <c r="K175" s="679">
        <v>19100</v>
      </c>
      <c r="L175" s="544">
        <v>19350</v>
      </c>
      <c r="M175" s="544">
        <v>20550</v>
      </c>
      <c r="N175" s="544">
        <v>21600</v>
      </c>
      <c r="O175" s="544">
        <v>22100</v>
      </c>
      <c r="P175" s="544">
        <v>22700</v>
      </c>
      <c r="Q175" s="544">
        <v>23800</v>
      </c>
      <c r="R175" s="544">
        <v>26300</v>
      </c>
      <c r="S175" s="544">
        <v>27650</v>
      </c>
      <c r="T175" s="544">
        <v>27650</v>
      </c>
      <c r="U175" s="544">
        <v>27650</v>
      </c>
      <c r="V175" s="680">
        <v>29050</v>
      </c>
      <c r="W175" s="681">
        <v>29450</v>
      </c>
      <c r="X175" s="682">
        <v>28000</v>
      </c>
      <c r="Y175" s="682">
        <v>27200</v>
      </c>
      <c r="Z175" s="682">
        <v>27600</v>
      </c>
      <c r="AA175" s="682">
        <v>27400</v>
      </c>
      <c r="AB175" s="682">
        <v>28700</v>
      </c>
      <c r="AC175" s="683">
        <v>28650</v>
      </c>
      <c r="AD175" s="683">
        <v>30150</v>
      </c>
      <c r="AE175" s="683">
        <v>30550</v>
      </c>
      <c r="AF175" s="683">
        <v>30750</v>
      </c>
      <c r="AG175" s="691">
        <v>32300</v>
      </c>
      <c r="AH175" s="691"/>
    </row>
    <row r="176" spans="2:34" ht="15" x14ac:dyDescent="0.25">
      <c r="B176" s="684" t="s">
        <v>380</v>
      </c>
      <c r="C176" s="679">
        <v>16150</v>
      </c>
      <c r="D176" s="679">
        <v>17400</v>
      </c>
      <c r="E176" s="679">
        <v>17800</v>
      </c>
      <c r="F176" s="679">
        <v>17450</v>
      </c>
      <c r="G176" s="679">
        <v>16300</v>
      </c>
      <c r="H176" s="679">
        <v>16300</v>
      </c>
      <c r="I176" s="679">
        <v>17750</v>
      </c>
      <c r="J176" s="679">
        <v>18150</v>
      </c>
      <c r="K176" s="679">
        <v>19100</v>
      </c>
      <c r="L176" s="544">
        <v>19350</v>
      </c>
      <c r="M176" s="544">
        <v>20550</v>
      </c>
      <c r="N176" s="544">
        <v>21600</v>
      </c>
      <c r="O176" s="544">
        <v>22100</v>
      </c>
      <c r="P176" s="544">
        <v>26300</v>
      </c>
      <c r="Q176" s="544">
        <v>27700</v>
      </c>
      <c r="R176" s="544">
        <v>28050</v>
      </c>
      <c r="S176" s="544">
        <v>29800</v>
      </c>
      <c r="T176" s="544">
        <v>29800</v>
      </c>
      <c r="U176" s="544">
        <v>29800</v>
      </c>
      <c r="V176" s="680">
        <v>30800</v>
      </c>
      <c r="W176" s="681">
        <v>31200</v>
      </c>
      <c r="X176" s="682">
        <v>29650</v>
      </c>
      <c r="Y176" s="682">
        <v>28250</v>
      </c>
      <c r="Z176" s="682">
        <v>29150</v>
      </c>
      <c r="AA176" s="682">
        <v>30600</v>
      </c>
      <c r="AB176" s="682">
        <v>32400</v>
      </c>
      <c r="AC176" s="683">
        <v>32550</v>
      </c>
      <c r="AD176" s="683">
        <v>32850</v>
      </c>
      <c r="AE176" s="683">
        <v>33350</v>
      </c>
      <c r="AF176" s="683">
        <v>32200</v>
      </c>
      <c r="AG176" s="691">
        <v>34750</v>
      </c>
      <c r="AH176" s="691"/>
    </row>
    <row r="177" spans="2:34" ht="15" x14ac:dyDescent="0.25">
      <c r="B177" s="684" t="s">
        <v>381</v>
      </c>
      <c r="C177" s="679">
        <v>16500</v>
      </c>
      <c r="D177" s="679">
        <v>17050</v>
      </c>
      <c r="E177" s="679">
        <v>17550</v>
      </c>
      <c r="F177" s="679">
        <v>17850</v>
      </c>
      <c r="G177" s="679">
        <v>17250</v>
      </c>
      <c r="H177" s="679">
        <v>17600</v>
      </c>
      <c r="I177" s="679">
        <v>17750</v>
      </c>
      <c r="J177" s="679">
        <v>18150</v>
      </c>
      <c r="K177" s="679">
        <v>19100</v>
      </c>
      <c r="L177" s="544">
        <v>19350</v>
      </c>
      <c r="M177" s="544">
        <v>20550</v>
      </c>
      <c r="N177" s="544">
        <v>26150</v>
      </c>
      <c r="O177" s="544">
        <v>26800</v>
      </c>
      <c r="P177" s="544">
        <v>26800</v>
      </c>
      <c r="Q177" s="544">
        <v>26800</v>
      </c>
      <c r="R177" s="544">
        <v>26800</v>
      </c>
      <c r="S177" s="544">
        <v>27700</v>
      </c>
      <c r="T177" s="544">
        <v>27700</v>
      </c>
      <c r="U177" s="544">
        <v>27700</v>
      </c>
      <c r="V177" s="680">
        <v>29300</v>
      </c>
      <c r="W177" s="681">
        <v>29900</v>
      </c>
      <c r="X177" s="682">
        <v>31350</v>
      </c>
      <c r="Y177" s="682">
        <v>32600</v>
      </c>
      <c r="Z177" s="682">
        <v>33200</v>
      </c>
      <c r="AA177" s="682">
        <v>33000</v>
      </c>
      <c r="AB177" s="682">
        <v>33400</v>
      </c>
      <c r="AC177" s="683">
        <v>31750</v>
      </c>
      <c r="AD177" s="683">
        <v>33700</v>
      </c>
      <c r="AE177" s="683">
        <v>34200</v>
      </c>
      <c r="AF177" s="683">
        <v>35000</v>
      </c>
      <c r="AG177" s="691">
        <v>35950</v>
      </c>
      <c r="AH177" s="691"/>
    </row>
    <row r="178" spans="2:34" ht="15" x14ac:dyDescent="0.25">
      <c r="B178" s="684" t="s">
        <v>382</v>
      </c>
      <c r="C178" s="679">
        <v>14600</v>
      </c>
      <c r="D178" s="679">
        <v>15550</v>
      </c>
      <c r="E178" s="679">
        <v>16000</v>
      </c>
      <c r="F178" s="679">
        <v>16050</v>
      </c>
      <c r="G178" s="679">
        <v>16300</v>
      </c>
      <c r="H178" s="679">
        <v>16300</v>
      </c>
      <c r="I178" s="679">
        <v>17150</v>
      </c>
      <c r="J178" s="679">
        <v>18050</v>
      </c>
      <c r="K178" s="679">
        <v>19100</v>
      </c>
      <c r="L178" s="544">
        <v>19350</v>
      </c>
      <c r="M178" s="544">
        <v>20550</v>
      </c>
      <c r="N178" s="544">
        <v>21600</v>
      </c>
      <c r="O178" s="544">
        <v>22100</v>
      </c>
      <c r="P178" s="544">
        <v>24150</v>
      </c>
      <c r="Q178" s="544">
        <v>25300</v>
      </c>
      <c r="R178" s="544">
        <v>26250</v>
      </c>
      <c r="S178" s="544">
        <v>27500</v>
      </c>
      <c r="T178" s="544">
        <v>27500</v>
      </c>
      <c r="U178" s="544">
        <v>27650</v>
      </c>
      <c r="V178" s="680">
        <v>28800</v>
      </c>
      <c r="W178" s="681">
        <v>29200</v>
      </c>
      <c r="X178" s="682">
        <v>30650</v>
      </c>
      <c r="Y178" s="682">
        <v>32150</v>
      </c>
      <c r="Z178" s="682">
        <v>33750</v>
      </c>
      <c r="AA178" s="682">
        <v>35200</v>
      </c>
      <c r="AB178" s="682">
        <v>37250</v>
      </c>
      <c r="AC178" s="683">
        <v>36850</v>
      </c>
      <c r="AD178" s="683">
        <v>36600</v>
      </c>
      <c r="AE178" s="683">
        <v>36050</v>
      </c>
      <c r="AF178" s="683">
        <v>36300</v>
      </c>
      <c r="AG178" s="691">
        <v>35300</v>
      </c>
      <c r="AH178" s="691"/>
    </row>
    <row r="179" spans="2:34" ht="15" x14ac:dyDescent="0.25">
      <c r="B179" s="684" t="s">
        <v>383</v>
      </c>
      <c r="C179" s="679">
        <v>14600</v>
      </c>
      <c r="D179" s="679">
        <v>15550</v>
      </c>
      <c r="E179" s="679">
        <v>16000</v>
      </c>
      <c r="F179" s="679">
        <v>16050</v>
      </c>
      <c r="G179" s="679">
        <v>16300</v>
      </c>
      <c r="H179" s="679">
        <v>16300</v>
      </c>
      <c r="I179" s="679">
        <v>17150</v>
      </c>
      <c r="J179" s="679">
        <v>18050</v>
      </c>
      <c r="K179" s="679">
        <v>19100</v>
      </c>
      <c r="L179" s="544">
        <v>19350</v>
      </c>
      <c r="M179" s="544">
        <v>20550</v>
      </c>
      <c r="N179" s="544">
        <v>21600</v>
      </c>
      <c r="O179" s="544">
        <v>22100</v>
      </c>
      <c r="P179" s="544">
        <v>22450</v>
      </c>
      <c r="Q179" s="544">
        <v>23800</v>
      </c>
      <c r="R179" s="544">
        <v>24050</v>
      </c>
      <c r="S179" s="544">
        <v>24900</v>
      </c>
      <c r="T179" s="544">
        <v>24900</v>
      </c>
      <c r="U179" s="544">
        <v>25050</v>
      </c>
      <c r="V179" s="680">
        <v>26150</v>
      </c>
      <c r="W179" s="681">
        <v>26400</v>
      </c>
      <c r="X179" s="682">
        <v>26850</v>
      </c>
      <c r="Y179" s="682">
        <v>27200</v>
      </c>
      <c r="Z179" s="682">
        <v>27600</v>
      </c>
      <c r="AA179" s="682">
        <v>27800</v>
      </c>
      <c r="AB179" s="682">
        <v>28700</v>
      </c>
      <c r="AC179" s="683">
        <v>28800</v>
      </c>
      <c r="AD179" s="683">
        <v>30150</v>
      </c>
      <c r="AE179" s="683">
        <v>33600</v>
      </c>
      <c r="AF179" s="683">
        <v>35150</v>
      </c>
      <c r="AG179" s="691">
        <v>36900</v>
      </c>
      <c r="AH179" s="691"/>
    </row>
    <row r="180" spans="2:34" ht="15" x14ac:dyDescent="0.25">
      <c r="B180" s="684" t="s">
        <v>384</v>
      </c>
      <c r="C180" s="679">
        <v>15600</v>
      </c>
      <c r="D180" s="679">
        <v>16650</v>
      </c>
      <c r="E180" s="679">
        <v>16650</v>
      </c>
      <c r="F180" s="679">
        <v>18200</v>
      </c>
      <c r="G180" s="679">
        <v>16300</v>
      </c>
      <c r="H180" s="679">
        <v>16300</v>
      </c>
      <c r="I180" s="679">
        <v>17750</v>
      </c>
      <c r="J180" s="679">
        <v>18150</v>
      </c>
      <c r="K180" s="679">
        <v>19100</v>
      </c>
      <c r="L180" s="544">
        <v>19350</v>
      </c>
      <c r="M180" s="544">
        <v>20550</v>
      </c>
      <c r="N180" s="544">
        <v>25950</v>
      </c>
      <c r="O180" s="544">
        <v>26450</v>
      </c>
      <c r="P180" s="544">
        <v>26450</v>
      </c>
      <c r="Q180" s="544">
        <v>27550</v>
      </c>
      <c r="R180" s="544">
        <v>27550</v>
      </c>
      <c r="S180" s="544">
        <v>30200</v>
      </c>
      <c r="T180" s="544">
        <v>30200</v>
      </c>
      <c r="U180" s="544">
        <v>30200</v>
      </c>
      <c r="V180" s="680">
        <v>30650</v>
      </c>
      <c r="W180" s="681">
        <v>30750</v>
      </c>
      <c r="X180" s="682">
        <v>31650</v>
      </c>
      <c r="Y180" s="682">
        <v>32100</v>
      </c>
      <c r="Z180" s="682">
        <v>31050</v>
      </c>
      <c r="AA180" s="682">
        <v>32600</v>
      </c>
      <c r="AB180" s="682">
        <v>32800</v>
      </c>
      <c r="AC180" s="683">
        <v>31300</v>
      </c>
      <c r="AD180" s="683">
        <v>33450</v>
      </c>
      <c r="AE180" s="683">
        <v>34300</v>
      </c>
      <c r="AF180" s="683">
        <v>37700</v>
      </c>
      <c r="AG180" s="691">
        <v>38850</v>
      </c>
      <c r="AH180" s="691"/>
    </row>
    <row r="181" spans="2:34" ht="15" x14ac:dyDescent="0.25">
      <c r="B181" s="684" t="s">
        <v>385</v>
      </c>
      <c r="C181" s="679">
        <v>14600</v>
      </c>
      <c r="D181" s="679">
        <v>15550</v>
      </c>
      <c r="E181" s="679">
        <v>16000</v>
      </c>
      <c r="F181" s="679">
        <v>16050</v>
      </c>
      <c r="G181" s="679">
        <v>16300</v>
      </c>
      <c r="H181" s="679">
        <v>16300</v>
      </c>
      <c r="I181" s="679">
        <v>17150</v>
      </c>
      <c r="J181" s="679">
        <v>18050</v>
      </c>
      <c r="K181" s="679">
        <v>19100</v>
      </c>
      <c r="L181" s="544">
        <v>19350</v>
      </c>
      <c r="M181" s="544">
        <v>20550</v>
      </c>
      <c r="N181" s="544">
        <v>21600</v>
      </c>
      <c r="O181" s="544">
        <v>22100</v>
      </c>
      <c r="P181" s="544">
        <v>22450</v>
      </c>
      <c r="Q181" s="544">
        <v>23800</v>
      </c>
      <c r="R181" s="544">
        <v>24050</v>
      </c>
      <c r="S181" s="544">
        <v>25050</v>
      </c>
      <c r="T181" s="544">
        <v>25050</v>
      </c>
      <c r="U181" s="544">
        <v>25200</v>
      </c>
      <c r="V181" s="680">
        <v>26300</v>
      </c>
      <c r="W181" s="681">
        <v>26650</v>
      </c>
      <c r="X181" s="682">
        <v>26850</v>
      </c>
      <c r="Y181" s="682">
        <v>27200</v>
      </c>
      <c r="Z181" s="682">
        <v>28550</v>
      </c>
      <c r="AA181" s="682">
        <v>28700</v>
      </c>
      <c r="AB181" s="682">
        <v>30400</v>
      </c>
      <c r="AC181" s="683">
        <v>30300</v>
      </c>
      <c r="AD181" s="683">
        <v>32400</v>
      </c>
      <c r="AE181" s="683">
        <v>36100</v>
      </c>
      <c r="AF181" s="683">
        <v>39700</v>
      </c>
      <c r="AG181" s="691">
        <v>42850</v>
      </c>
      <c r="AH181" s="691"/>
    </row>
    <row r="182" spans="2:34" ht="15" x14ac:dyDescent="0.25">
      <c r="B182" s="684" t="s">
        <v>386</v>
      </c>
      <c r="C182" s="679">
        <v>14600</v>
      </c>
      <c r="D182" s="679">
        <v>15550</v>
      </c>
      <c r="E182" s="679">
        <v>16000</v>
      </c>
      <c r="F182" s="679">
        <v>16050</v>
      </c>
      <c r="G182" s="679">
        <v>16300</v>
      </c>
      <c r="H182" s="679">
        <v>16300</v>
      </c>
      <c r="I182" s="679">
        <v>17150</v>
      </c>
      <c r="J182" s="679">
        <v>18050</v>
      </c>
      <c r="K182" s="679">
        <v>19100</v>
      </c>
      <c r="L182" s="544">
        <v>19350</v>
      </c>
      <c r="M182" s="544">
        <v>20550</v>
      </c>
      <c r="N182" s="544">
        <v>21600</v>
      </c>
      <c r="O182" s="544">
        <v>22100</v>
      </c>
      <c r="P182" s="544">
        <v>22450</v>
      </c>
      <c r="Q182" s="544">
        <v>23800</v>
      </c>
      <c r="R182" s="544">
        <v>24050</v>
      </c>
      <c r="S182" s="544">
        <v>24900</v>
      </c>
      <c r="T182" s="544">
        <v>24900</v>
      </c>
      <c r="U182" s="544">
        <v>25050</v>
      </c>
      <c r="V182" s="680">
        <v>26150</v>
      </c>
      <c r="W182" s="681">
        <v>26400</v>
      </c>
      <c r="X182" s="682">
        <v>27600</v>
      </c>
      <c r="Y182" s="682">
        <v>27950</v>
      </c>
      <c r="Z182" s="682">
        <v>27600</v>
      </c>
      <c r="AA182" s="682">
        <v>27600</v>
      </c>
      <c r="AB182" s="682">
        <v>29000</v>
      </c>
      <c r="AC182" s="683">
        <v>28650</v>
      </c>
      <c r="AD182" s="683">
        <v>30150</v>
      </c>
      <c r="AE182" s="683">
        <v>30550</v>
      </c>
      <c r="AF182" s="683">
        <v>30750</v>
      </c>
      <c r="AG182" s="691">
        <v>32300</v>
      </c>
      <c r="AH182" s="691"/>
    </row>
    <row r="183" spans="2:34" ht="15" x14ac:dyDescent="0.25">
      <c r="B183" s="684" t="s">
        <v>387</v>
      </c>
      <c r="C183" s="679">
        <v>14600</v>
      </c>
      <c r="D183" s="679">
        <v>15550</v>
      </c>
      <c r="E183" s="679">
        <v>16000</v>
      </c>
      <c r="F183" s="679">
        <v>16050</v>
      </c>
      <c r="G183" s="679">
        <v>21200</v>
      </c>
      <c r="H183" s="679">
        <v>21200</v>
      </c>
      <c r="I183" s="679">
        <v>17150</v>
      </c>
      <c r="J183" s="679">
        <v>18050</v>
      </c>
      <c r="K183" s="679">
        <v>19100</v>
      </c>
      <c r="L183" s="544">
        <v>19350</v>
      </c>
      <c r="M183" s="544">
        <v>20550</v>
      </c>
      <c r="N183" s="544">
        <v>21600</v>
      </c>
      <c r="O183" s="544">
        <v>22100</v>
      </c>
      <c r="P183" s="544">
        <v>22450</v>
      </c>
      <c r="Q183" s="544">
        <v>23800</v>
      </c>
      <c r="R183" s="544">
        <v>24050</v>
      </c>
      <c r="S183" s="544">
        <v>24900</v>
      </c>
      <c r="T183" s="544">
        <v>24900</v>
      </c>
      <c r="U183" s="544">
        <v>25050</v>
      </c>
      <c r="V183" s="680">
        <v>26150</v>
      </c>
      <c r="W183" s="681">
        <v>26400</v>
      </c>
      <c r="X183" s="682">
        <v>26850</v>
      </c>
      <c r="Y183" s="682">
        <v>27200</v>
      </c>
      <c r="Z183" s="682">
        <v>27600</v>
      </c>
      <c r="AA183" s="682">
        <v>28450</v>
      </c>
      <c r="AB183" s="682">
        <v>28850</v>
      </c>
      <c r="AC183" s="683">
        <v>28650</v>
      </c>
      <c r="AD183" s="683">
        <v>30650</v>
      </c>
      <c r="AE183" s="683">
        <v>31100</v>
      </c>
      <c r="AF183" s="683">
        <v>32350</v>
      </c>
      <c r="AG183" s="691">
        <v>34050</v>
      </c>
      <c r="AH183" s="691"/>
    </row>
    <row r="184" spans="2:34" ht="15" x14ac:dyDescent="0.25">
      <c r="B184" s="684" t="s">
        <v>388</v>
      </c>
      <c r="C184" s="679">
        <v>14600</v>
      </c>
      <c r="D184" s="679">
        <v>15550</v>
      </c>
      <c r="E184" s="679">
        <v>16000</v>
      </c>
      <c r="F184" s="679">
        <v>16050</v>
      </c>
      <c r="G184" s="679">
        <v>16300</v>
      </c>
      <c r="H184" s="679">
        <v>16300</v>
      </c>
      <c r="I184" s="679">
        <v>17150</v>
      </c>
      <c r="J184" s="679">
        <v>18050</v>
      </c>
      <c r="K184" s="679">
        <v>19100</v>
      </c>
      <c r="L184" s="544">
        <v>19350</v>
      </c>
      <c r="M184" s="544">
        <v>20550</v>
      </c>
      <c r="N184" s="544">
        <v>21600</v>
      </c>
      <c r="O184" s="544">
        <v>22100</v>
      </c>
      <c r="P184" s="544">
        <v>22450</v>
      </c>
      <c r="Q184" s="544">
        <v>23800</v>
      </c>
      <c r="R184" s="544">
        <v>24050</v>
      </c>
      <c r="S184" s="544">
        <v>24900</v>
      </c>
      <c r="T184" s="544">
        <v>24900</v>
      </c>
      <c r="U184" s="544">
        <v>25050</v>
      </c>
      <c r="V184" s="680">
        <v>26150</v>
      </c>
      <c r="W184" s="681">
        <v>26400</v>
      </c>
      <c r="X184" s="682">
        <v>26850</v>
      </c>
      <c r="Y184" s="682">
        <v>27200</v>
      </c>
      <c r="Z184" s="682">
        <v>27600</v>
      </c>
      <c r="AA184" s="682">
        <v>27400</v>
      </c>
      <c r="AB184" s="682">
        <v>28700</v>
      </c>
      <c r="AC184" s="683">
        <v>28650</v>
      </c>
      <c r="AD184" s="683">
        <v>30150</v>
      </c>
      <c r="AE184" s="683">
        <v>30550</v>
      </c>
      <c r="AF184" s="683">
        <v>30750</v>
      </c>
      <c r="AG184" s="691">
        <v>32300</v>
      </c>
      <c r="AH184" s="691"/>
    </row>
    <row r="185" spans="2:34" ht="15" x14ac:dyDescent="0.25">
      <c r="B185" s="684" t="s">
        <v>389</v>
      </c>
      <c r="C185" s="679">
        <v>14600</v>
      </c>
      <c r="D185" s="679">
        <v>15550</v>
      </c>
      <c r="E185" s="679">
        <v>16000</v>
      </c>
      <c r="F185" s="679">
        <v>16050</v>
      </c>
      <c r="G185" s="679">
        <v>16300</v>
      </c>
      <c r="H185" s="679">
        <v>16300</v>
      </c>
      <c r="I185" s="679">
        <v>17150</v>
      </c>
      <c r="J185" s="679">
        <v>18050</v>
      </c>
      <c r="K185" s="679">
        <v>19100</v>
      </c>
      <c r="L185" s="544">
        <v>19350</v>
      </c>
      <c r="M185" s="544">
        <v>20550</v>
      </c>
      <c r="N185" s="544">
        <v>21600</v>
      </c>
      <c r="O185" s="544">
        <v>22100</v>
      </c>
      <c r="P185" s="544">
        <v>22450</v>
      </c>
      <c r="Q185" s="544">
        <v>23800</v>
      </c>
      <c r="R185" s="544">
        <v>24050</v>
      </c>
      <c r="S185" s="544">
        <v>24900</v>
      </c>
      <c r="T185" s="544">
        <v>24900</v>
      </c>
      <c r="U185" s="544">
        <v>25050</v>
      </c>
      <c r="V185" s="680">
        <v>26150</v>
      </c>
      <c r="W185" s="681">
        <v>26400</v>
      </c>
      <c r="X185" s="682">
        <v>26850</v>
      </c>
      <c r="Y185" s="682">
        <v>27200</v>
      </c>
      <c r="Z185" s="682">
        <v>27600</v>
      </c>
      <c r="AA185" s="682">
        <v>27400</v>
      </c>
      <c r="AB185" s="682">
        <v>28700</v>
      </c>
      <c r="AC185" s="683">
        <v>28650</v>
      </c>
      <c r="AD185" s="683">
        <v>30150</v>
      </c>
      <c r="AE185" s="683">
        <v>30550</v>
      </c>
      <c r="AF185" s="683">
        <v>30750</v>
      </c>
      <c r="AG185" s="691">
        <v>32300</v>
      </c>
      <c r="AH185" s="691"/>
    </row>
    <row r="186" spans="2:34" ht="15" x14ac:dyDescent="0.25">
      <c r="B186" s="684" t="s">
        <v>390</v>
      </c>
      <c r="C186" s="679">
        <v>19400</v>
      </c>
      <c r="D186" s="679">
        <v>20550</v>
      </c>
      <c r="E186" s="679">
        <v>21350</v>
      </c>
      <c r="F186" s="679">
        <v>21600</v>
      </c>
      <c r="G186" s="679">
        <v>22300</v>
      </c>
      <c r="H186" s="679">
        <v>22300</v>
      </c>
      <c r="I186" s="679">
        <v>23150</v>
      </c>
      <c r="J186" s="679">
        <v>23800</v>
      </c>
      <c r="K186" s="679">
        <v>24750</v>
      </c>
      <c r="L186" s="544">
        <v>25650</v>
      </c>
      <c r="M186" s="544">
        <v>27550</v>
      </c>
      <c r="N186" s="544">
        <v>31100</v>
      </c>
      <c r="O186" s="544">
        <v>32250</v>
      </c>
      <c r="P186" s="544">
        <v>33350</v>
      </c>
      <c r="Q186" s="544">
        <v>34200</v>
      </c>
      <c r="R186" s="544">
        <v>34200</v>
      </c>
      <c r="S186" s="544">
        <v>34200</v>
      </c>
      <c r="T186" s="544">
        <v>34200</v>
      </c>
      <c r="U186" s="544">
        <v>34200</v>
      </c>
      <c r="V186" s="680">
        <v>35200</v>
      </c>
      <c r="W186" s="681">
        <v>35250</v>
      </c>
      <c r="X186" s="682">
        <v>36150</v>
      </c>
      <c r="Y186" s="682">
        <v>36650</v>
      </c>
      <c r="Z186" s="682">
        <v>35600</v>
      </c>
      <c r="AA186" s="682">
        <v>34950</v>
      </c>
      <c r="AB186" s="682">
        <v>36650</v>
      </c>
      <c r="AC186" s="683">
        <v>36400</v>
      </c>
      <c r="AD186" s="683">
        <v>37400</v>
      </c>
      <c r="AE186" s="683">
        <v>40000</v>
      </c>
      <c r="AF186" s="683">
        <v>41350</v>
      </c>
      <c r="AG186" s="691">
        <v>43000</v>
      </c>
      <c r="AH186" s="691"/>
    </row>
    <row r="187" spans="2:34" ht="15" x14ac:dyDescent="0.25">
      <c r="B187" s="678" t="s">
        <v>1561</v>
      </c>
      <c r="C187" s="679">
        <v>14600</v>
      </c>
      <c r="D187" s="679">
        <v>15250</v>
      </c>
      <c r="E187" s="679">
        <v>15750</v>
      </c>
      <c r="F187" s="679">
        <v>14750</v>
      </c>
      <c r="G187" s="679">
        <v>14900</v>
      </c>
      <c r="H187" s="679">
        <v>14900</v>
      </c>
      <c r="I187" s="679">
        <v>15850</v>
      </c>
      <c r="J187" s="679">
        <v>16400</v>
      </c>
      <c r="K187" s="679">
        <v>16450</v>
      </c>
      <c r="L187" s="544">
        <v>17600</v>
      </c>
      <c r="M187" s="544">
        <v>18050</v>
      </c>
      <c r="N187" s="544">
        <v>18150</v>
      </c>
      <c r="O187" s="544">
        <v>18800</v>
      </c>
      <c r="P187" s="544">
        <v>21600</v>
      </c>
      <c r="Q187" s="544">
        <v>22300</v>
      </c>
      <c r="R187" s="544">
        <v>22300</v>
      </c>
      <c r="S187" s="544">
        <v>23050</v>
      </c>
      <c r="T187" s="544">
        <v>23050</v>
      </c>
      <c r="U187" s="544">
        <v>23500</v>
      </c>
      <c r="V187" s="680">
        <v>24000</v>
      </c>
      <c r="W187" s="681">
        <v>24250</v>
      </c>
      <c r="X187" s="682">
        <v>24800</v>
      </c>
      <c r="Y187" s="682">
        <v>25150</v>
      </c>
      <c r="Z187" s="682">
        <v>25400</v>
      </c>
      <c r="AA187" s="682">
        <v>25500</v>
      </c>
      <c r="AB187" s="682">
        <v>27000</v>
      </c>
      <c r="AC187" s="683">
        <v>27400</v>
      </c>
      <c r="AD187" s="683">
        <v>26200</v>
      </c>
      <c r="AE187" s="683">
        <v>27450</v>
      </c>
      <c r="AF187" s="683">
        <v>28200</v>
      </c>
      <c r="AG187" s="691">
        <v>29550</v>
      </c>
      <c r="AH187" s="691"/>
    </row>
    <row r="188" spans="2:34" ht="15" x14ac:dyDescent="0.25">
      <c r="B188" s="678" t="s">
        <v>602</v>
      </c>
      <c r="C188" s="679">
        <v>17800</v>
      </c>
      <c r="D188" s="679">
        <v>19350</v>
      </c>
      <c r="E188" s="679">
        <v>19950</v>
      </c>
      <c r="F188" s="679">
        <v>19750</v>
      </c>
      <c r="G188" s="679">
        <v>21500</v>
      </c>
      <c r="H188" s="679">
        <v>21900</v>
      </c>
      <c r="I188" s="679">
        <v>21350</v>
      </c>
      <c r="J188" s="679">
        <v>22750</v>
      </c>
      <c r="K188" s="679">
        <v>22750</v>
      </c>
      <c r="L188" s="544">
        <v>23200</v>
      </c>
      <c r="M188" s="544">
        <v>24000</v>
      </c>
      <c r="N188" s="544">
        <v>25250</v>
      </c>
      <c r="O188" s="544">
        <v>26050</v>
      </c>
      <c r="P188" s="544">
        <v>30150</v>
      </c>
      <c r="Q188" s="544">
        <v>30850</v>
      </c>
      <c r="R188" s="544">
        <v>31650</v>
      </c>
      <c r="S188" s="544">
        <v>35850</v>
      </c>
      <c r="T188" s="544">
        <v>35850</v>
      </c>
      <c r="U188" s="544">
        <v>37000</v>
      </c>
      <c r="V188" s="680">
        <v>38800</v>
      </c>
      <c r="W188" s="681">
        <v>39100</v>
      </c>
      <c r="X188" s="682">
        <v>41050</v>
      </c>
      <c r="Y188" s="682">
        <v>43100</v>
      </c>
      <c r="Z188" s="682">
        <v>40950</v>
      </c>
      <c r="AA188" s="682">
        <v>42950</v>
      </c>
      <c r="AB188" s="682">
        <v>43750</v>
      </c>
      <c r="AC188" s="683">
        <v>41600</v>
      </c>
      <c r="AD188" s="683">
        <v>40000</v>
      </c>
      <c r="AE188" s="683">
        <v>40350</v>
      </c>
      <c r="AF188" s="683">
        <v>44350</v>
      </c>
      <c r="AG188" s="691">
        <v>42700</v>
      </c>
      <c r="AH188" s="691"/>
    </row>
    <row r="189" spans="2:34" ht="15" x14ac:dyDescent="0.25">
      <c r="B189" s="684" t="s">
        <v>603</v>
      </c>
      <c r="C189" s="679">
        <v>19400</v>
      </c>
      <c r="D189" s="679">
        <v>20000</v>
      </c>
      <c r="E189" s="679">
        <v>20150</v>
      </c>
      <c r="F189" s="679">
        <v>22050</v>
      </c>
      <c r="G189" s="679">
        <v>22700</v>
      </c>
      <c r="H189" s="679">
        <v>22700</v>
      </c>
      <c r="I189" s="679">
        <v>23050</v>
      </c>
      <c r="J189" s="679">
        <v>24400</v>
      </c>
      <c r="K189" s="679">
        <v>25100</v>
      </c>
      <c r="L189" s="544">
        <v>26800</v>
      </c>
      <c r="M189" s="544">
        <v>28300</v>
      </c>
      <c r="N189" s="544">
        <v>28300</v>
      </c>
      <c r="O189" s="544">
        <v>30050</v>
      </c>
      <c r="P189" s="544">
        <v>31800</v>
      </c>
      <c r="Q189" s="544">
        <v>32300</v>
      </c>
      <c r="R189" s="544">
        <v>32300</v>
      </c>
      <c r="S189" s="544">
        <v>32450</v>
      </c>
      <c r="T189" s="544">
        <v>32450</v>
      </c>
      <c r="U189" s="544">
        <v>32450</v>
      </c>
      <c r="V189" s="680">
        <v>33500</v>
      </c>
      <c r="W189" s="681">
        <v>32950</v>
      </c>
      <c r="X189" s="682">
        <v>33900</v>
      </c>
      <c r="Y189" s="682">
        <v>34350</v>
      </c>
      <c r="Z189" s="682">
        <v>33000</v>
      </c>
      <c r="AA189" s="682">
        <v>32100</v>
      </c>
      <c r="AB189" s="682">
        <v>32900</v>
      </c>
      <c r="AC189" s="683">
        <v>32800</v>
      </c>
      <c r="AD189" s="683">
        <v>34150</v>
      </c>
      <c r="AE189" s="683">
        <v>36950</v>
      </c>
      <c r="AF189" s="683">
        <v>37150</v>
      </c>
      <c r="AG189" s="691">
        <v>40100</v>
      </c>
      <c r="AH189" s="691"/>
    </row>
    <row r="190" spans="2:34" ht="15" x14ac:dyDescent="0.25">
      <c r="B190" s="684" t="s">
        <v>391</v>
      </c>
      <c r="C190" s="679">
        <v>19400</v>
      </c>
      <c r="D190" s="679">
        <v>20550</v>
      </c>
      <c r="E190" s="679">
        <v>21350</v>
      </c>
      <c r="F190" s="679">
        <v>21600</v>
      </c>
      <c r="G190" s="679">
        <v>22300</v>
      </c>
      <c r="H190" s="679">
        <v>22300</v>
      </c>
      <c r="I190" s="679">
        <v>23150</v>
      </c>
      <c r="J190" s="679">
        <v>23800</v>
      </c>
      <c r="K190" s="679">
        <v>24750</v>
      </c>
      <c r="L190" s="544">
        <v>25650</v>
      </c>
      <c r="M190" s="544">
        <v>27550</v>
      </c>
      <c r="N190" s="544">
        <v>31100</v>
      </c>
      <c r="O190" s="544">
        <v>32250</v>
      </c>
      <c r="P190" s="544">
        <v>33350</v>
      </c>
      <c r="Q190" s="544">
        <v>34200</v>
      </c>
      <c r="R190" s="544">
        <v>34200</v>
      </c>
      <c r="S190" s="544">
        <v>34200</v>
      </c>
      <c r="T190" s="544">
        <v>34200</v>
      </c>
      <c r="U190" s="544">
        <v>34200</v>
      </c>
      <c r="V190" s="680">
        <v>35200</v>
      </c>
      <c r="W190" s="681">
        <v>35250</v>
      </c>
      <c r="X190" s="682">
        <v>36150</v>
      </c>
      <c r="Y190" s="682">
        <v>36650</v>
      </c>
      <c r="Z190" s="682">
        <v>35600</v>
      </c>
      <c r="AA190" s="682">
        <v>34950</v>
      </c>
      <c r="AB190" s="682">
        <v>36650</v>
      </c>
      <c r="AC190" s="683">
        <v>36400</v>
      </c>
      <c r="AD190" s="683">
        <v>37400</v>
      </c>
      <c r="AE190" s="683">
        <v>40000</v>
      </c>
      <c r="AF190" s="683">
        <v>41350</v>
      </c>
      <c r="AG190" s="691">
        <v>43000</v>
      </c>
      <c r="AH190" s="691"/>
    </row>
    <row r="191" spans="2:34" ht="15" x14ac:dyDescent="0.25">
      <c r="B191" s="684" t="s">
        <v>392</v>
      </c>
      <c r="C191" s="679">
        <v>15350</v>
      </c>
      <c r="D191" s="679">
        <v>16200</v>
      </c>
      <c r="E191" s="679">
        <v>17050</v>
      </c>
      <c r="F191" s="679">
        <v>17450</v>
      </c>
      <c r="G191" s="679">
        <v>18000</v>
      </c>
      <c r="H191" s="679">
        <v>18000</v>
      </c>
      <c r="I191" s="679">
        <v>18650</v>
      </c>
      <c r="J191" s="679">
        <v>19500</v>
      </c>
      <c r="K191" s="679">
        <v>20650</v>
      </c>
      <c r="L191" s="544">
        <v>21000</v>
      </c>
      <c r="M191" s="544">
        <v>21300</v>
      </c>
      <c r="N191" s="544">
        <v>24150</v>
      </c>
      <c r="O191" s="544">
        <v>24500</v>
      </c>
      <c r="P191" s="544">
        <v>26400</v>
      </c>
      <c r="Q191" s="544">
        <v>26850</v>
      </c>
      <c r="R191" s="544">
        <v>27350</v>
      </c>
      <c r="S191" s="544">
        <v>28300</v>
      </c>
      <c r="T191" s="544">
        <v>28300</v>
      </c>
      <c r="U191" s="544">
        <v>28350</v>
      </c>
      <c r="V191" s="680">
        <v>28350</v>
      </c>
      <c r="W191" s="681">
        <v>28850</v>
      </c>
      <c r="X191" s="682">
        <v>28750</v>
      </c>
      <c r="Y191" s="682">
        <v>29150</v>
      </c>
      <c r="Z191" s="682">
        <v>30450</v>
      </c>
      <c r="AA191" s="682">
        <v>31950</v>
      </c>
      <c r="AB191" s="682">
        <v>33850</v>
      </c>
      <c r="AC191" s="683">
        <v>33500</v>
      </c>
      <c r="AD191" s="683">
        <v>34650</v>
      </c>
      <c r="AE191" s="683">
        <v>35300</v>
      </c>
      <c r="AF191" s="683">
        <v>35350</v>
      </c>
      <c r="AG191" s="691">
        <v>36450</v>
      </c>
      <c r="AH191" s="691"/>
    </row>
    <row r="192" spans="2:34" ht="15" x14ac:dyDescent="0.25">
      <c r="B192" s="684" t="s">
        <v>393</v>
      </c>
      <c r="C192" s="679">
        <v>13700</v>
      </c>
      <c r="D192" s="679">
        <v>14600</v>
      </c>
      <c r="E192" s="679">
        <v>14950</v>
      </c>
      <c r="F192" s="679">
        <v>15900</v>
      </c>
      <c r="G192" s="679">
        <v>16300</v>
      </c>
      <c r="H192" s="679">
        <v>16300</v>
      </c>
      <c r="I192" s="679">
        <v>17550</v>
      </c>
      <c r="J192" s="679">
        <v>18550</v>
      </c>
      <c r="K192" s="679">
        <v>19650</v>
      </c>
      <c r="L192" s="544">
        <v>19900</v>
      </c>
      <c r="M192" s="544">
        <v>21300</v>
      </c>
      <c r="N192" s="544">
        <v>22500</v>
      </c>
      <c r="O192" s="544">
        <v>22900</v>
      </c>
      <c r="P192" s="544">
        <v>24150</v>
      </c>
      <c r="Q192" s="544">
        <v>24850</v>
      </c>
      <c r="R192" s="544">
        <v>25100</v>
      </c>
      <c r="S192" s="544">
        <v>25700</v>
      </c>
      <c r="T192" s="544">
        <v>25700</v>
      </c>
      <c r="U192" s="544">
        <v>25900</v>
      </c>
      <c r="V192" s="680">
        <v>26850</v>
      </c>
      <c r="W192" s="681">
        <v>27100</v>
      </c>
      <c r="X192" s="682">
        <v>28100</v>
      </c>
      <c r="Y192" s="682">
        <v>28500</v>
      </c>
      <c r="Z192" s="682">
        <v>28500</v>
      </c>
      <c r="AA192" s="682">
        <v>29900</v>
      </c>
      <c r="AB192" s="682">
        <v>30500</v>
      </c>
      <c r="AC192" s="683">
        <v>30250</v>
      </c>
      <c r="AD192" s="683">
        <v>31300</v>
      </c>
      <c r="AE192" s="683">
        <v>34000</v>
      </c>
      <c r="AF192" s="683">
        <v>35000</v>
      </c>
      <c r="AG192" s="691">
        <v>35800</v>
      </c>
      <c r="AH192" s="691"/>
    </row>
    <row r="193" spans="2:34" ht="15" x14ac:dyDescent="0.25">
      <c r="B193" s="684" t="s">
        <v>394</v>
      </c>
      <c r="C193" s="679">
        <v>13700</v>
      </c>
      <c r="D193" s="679">
        <v>14600</v>
      </c>
      <c r="E193" s="679">
        <v>14950</v>
      </c>
      <c r="F193" s="679">
        <v>15900</v>
      </c>
      <c r="G193" s="679">
        <v>16300</v>
      </c>
      <c r="H193" s="679">
        <v>16300</v>
      </c>
      <c r="I193" s="679">
        <v>17550</v>
      </c>
      <c r="J193" s="679">
        <v>18550</v>
      </c>
      <c r="K193" s="679">
        <v>19650</v>
      </c>
      <c r="L193" s="544">
        <v>19900</v>
      </c>
      <c r="M193" s="544">
        <v>21300</v>
      </c>
      <c r="N193" s="544">
        <v>22500</v>
      </c>
      <c r="O193" s="544">
        <v>22900</v>
      </c>
      <c r="P193" s="544">
        <v>24150</v>
      </c>
      <c r="Q193" s="544">
        <v>24850</v>
      </c>
      <c r="R193" s="544">
        <v>25100</v>
      </c>
      <c r="S193" s="544">
        <v>25700</v>
      </c>
      <c r="T193" s="544">
        <v>25700</v>
      </c>
      <c r="U193" s="544">
        <v>25900</v>
      </c>
      <c r="V193" s="680">
        <v>26850</v>
      </c>
      <c r="W193" s="681">
        <v>27100</v>
      </c>
      <c r="X193" s="682">
        <v>28100</v>
      </c>
      <c r="Y193" s="682">
        <v>28500</v>
      </c>
      <c r="Z193" s="682">
        <v>28500</v>
      </c>
      <c r="AA193" s="682">
        <v>29900</v>
      </c>
      <c r="AB193" s="682">
        <v>30500</v>
      </c>
      <c r="AC193" s="683">
        <v>30250</v>
      </c>
      <c r="AD193" s="683">
        <v>31300</v>
      </c>
      <c r="AE193" s="683">
        <v>34000</v>
      </c>
      <c r="AF193" s="683">
        <v>35000</v>
      </c>
      <c r="AG193" s="691">
        <v>35800</v>
      </c>
      <c r="AH193" s="691"/>
    </row>
    <row r="194" spans="2:34" ht="15" x14ac:dyDescent="0.25">
      <c r="B194" s="684" t="s">
        <v>395</v>
      </c>
      <c r="C194" s="679">
        <v>13700</v>
      </c>
      <c r="D194" s="679">
        <v>14600</v>
      </c>
      <c r="E194" s="679">
        <v>14950</v>
      </c>
      <c r="F194" s="679">
        <v>15900</v>
      </c>
      <c r="G194" s="679">
        <v>16300</v>
      </c>
      <c r="H194" s="679">
        <v>16300</v>
      </c>
      <c r="I194" s="679">
        <v>17550</v>
      </c>
      <c r="J194" s="679">
        <v>18550</v>
      </c>
      <c r="K194" s="679">
        <v>19650</v>
      </c>
      <c r="L194" s="544">
        <v>19900</v>
      </c>
      <c r="M194" s="544">
        <v>21300</v>
      </c>
      <c r="N194" s="544">
        <v>22500</v>
      </c>
      <c r="O194" s="544">
        <v>22900</v>
      </c>
      <c r="P194" s="544">
        <v>24150</v>
      </c>
      <c r="Q194" s="544">
        <v>24850</v>
      </c>
      <c r="R194" s="544">
        <v>25100</v>
      </c>
      <c r="S194" s="544">
        <v>25700</v>
      </c>
      <c r="T194" s="544">
        <v>25700</v>
      </c>
      <c r="U194" s="544">
        <v>26700</v>
      </c>
      <c r="V194" s="680">
        <v>26850</v>
      </c>
      <c r="W194" s="681">
        <v>27100</v>
      </c>
      <c r="X194" s="682">
        <v>28100</v>
      </c>
      <c r="Y194" s="682">
        <v>28500</v>
      </c>
      <c r="Z194" s="682">
        <v>28500</v>
      </c>
      <c r="AA194" s="682">
        <v>29900</v>
      </c>
      <c r="AB194" s="682">
        <v>30500</v>
      </c>
      <c r="AC194" s="683">
        <v>30250</v>
      </c>
      <c r="AD194" s="683">
        <v>32050</v>
      </c>
      <c r="AE194" s="683">
        <v>34000</v>
      </c>
      <c r="AF194" s="683">
        <v>35000</v>
      </c>
      <c r="AG194" s="691">
        <v>35800</v>
      </c>
      <c r="AH194" s="691"/>
    </row>
    <row r="195" spans="2:34" ht="15" x14ac:dyDescent="0.25">
      <c r="B195" s="684" t="s">
        <v>396</v>
      </c>
      <c r="C195" s="679">
        <v>13700</v>
      </c>
      <c r="D195" s="679">
        <v>14600</v>
      </c>
      <c r="E195" s="679">
        <v>14950</v>
      </c>
      <c r="F195" s="679">
        <v>15900</v>
      </c>
      <c r="G195" s="679">
        <v>16300</v>
      </c>
      <c r="H195" s="679">
        <v>16300</v>
      </c>
      <c r="I195" s="679">
        <v>17550</v>
      </c>
      <c r="J195" s="679">
        <v>18550</v>
      </c>
      <c r="K195" s="679">
        <v>19650</v>
      </c>
      <c r="L195" s="544">
        <v>19900</v>
      </c>
      <c r="M195" s="544">
        <v>21300</v>
      </c>
      <c r="N195" s="544">
        <v>22500</v>
      </c>
      <c r="O195" s="544">
        <v>23450</v>
      </c>
      <c r="P195" s="544">
        <v>24150</v>
      </c>
      <c r="Q195" s="544">
        <v>24850</v>
      </c>
      <c r="R195" s="544">
        <v>25100</v>
      </c>
      <c r="S195" s="544">
        <v>25700</v>
      </c>
      <c r="T195" s="544">
        <v>25700</v>
      </c>
      <c r="U195" s="544">
        <v>25900</v>
      </c>
      <c r="V195" s="680">
        <v>26850</v>
      </c>
      <c r="W195" s="681">
        <v>27100</v>
      </c>
      <c r="X195" s="682">
        <v>28100</v>
      </c>
      <c r="Y195" s="682">
        <v>28500</v>
      </c>
      <c r="Z195" s="682">
        <v>28500</v>
      </c>
      <c r="AA195" s="682">
        <v>29900</v>
      </c>
      <c r="AB195" s="682">
        <v>30500</v>
      </c>
      <c r="AC195" s="683">
        <v>30250</v>
      </c>
      <c r="AD195" s="683">
        <v>31300</v>
      </c>
      <c r="AE195" s="683">
        <v>34000</v>
      </c>
      <c r="AF195" s="683">
        <v>35000</v>
      </c>
      <c r="AG195" s="691">
        <v>35800</v>
      </c>
      <c r="AH195" s="691"/>
    </row>
    <row r="196" spans="2:34" ht="15" x14ac:dyDescent="0.25">
      <c r="B196" s="684" t="s">
        <v>397</v>
      </c>
      <c r="C196" s="679">
        <v>13700</v>
      </c>
      <c r="D196" s="679">
        <v>14600</v>
      </c>
      <c r="E196" s="679">
        <v>14950</v>
      </c>
      <c r="F196" s="679">
        <v>15900</v>
      </c>
      <c r="G196" s="679">
        <v>16300</v>
      </c>
      <c r="H196" s="679">
        <v>16300</v>
      </c>
      <c r="I196" s="679">
        <v>17650</v>
      </c>
      <c r="J196" s="679">
        <v>18550</v>
      </c>
      <c r="K196" s="679">
        <v>19650</v>
      </c>
      <c r="L196" s="544">
        <v>19900</v>
      </c>
      <c r="M196" s="544">
        <v>21300</v>
      </c>
      <c r="N196" s="544">
        <v>22500</v>
      </c>
      <c r="O196" s="544">
        <v>22900</v>
      </c>
      <c r="P196" s="544">
        <v>24150</v>
      </c>
      <c r="Q196" s="544">
        <v>24850</v>
      </c>
      <c r="R196" s="544">
        <v>25100</v>
      </c>
      <c r="S196" s="544">
        <v>25700</v>
      </c>
      <c r="T196" s="544">
        <v>25700</v>
      </c>
      <c r="U196" s="544">
        <v>25900</v>
      </c>
      <c r="V196" s="680">
        <v>26850</v>
      </c>
      <c r="W196" s="681">
        <v>27100</v>
      </c>
      <c r="X196" s="682">
        <v>28100</v>
      </c>
      <c r="Y196" s="682">
        <v>28500</v>
      </c>
      <c r="Z196" s="682">
        <v>28500</v>
      </c>
      <c r="AA196" s="682">
        <v>29900</v>
      </c>
      <c r="AB196" s="682">
        <v>30500</v>
      </c>
      <c r="AC196" s="683">
        <v>30400</v>
      </c>
      <c r="AD196" s="683">
        <v>32500</v>
      </c>
      <c r="AE196" s="683">
        <v>34000</v>
      </c>
      <c r="AF196" s="683">
        <v>35000</v>
      </c>
      <c r="AG196" s="691">
        <v>36600</v>
      </c>
      <c r="AH196" s="691"/>
    </row>
    <row r="197" spans="2:34" ht="15" x14ac:dyDescent="0.25">
      <c r="B197" s="684" t="s">
        <v>398</v>
      </c>
      <c r="C197" s="679">
        <v>16550</v>
      </c>
      <c r="D197" s="679">
        <v>17300</v>
      </c>
      <c r="E197" s="679">
        <v>17700</v>
      </c>
      <c r="F197" s="679">
        <v>18150</v>
      </c>
      <c r="G197" s="679">
        <v>16300</v>
      </c>
      <c r="H197" s="679">
        <v>16300</v>
      </c>
      <c r="I197" s="679">
        <v>17650</v>
      </c>
      <c r="J197" s="679">
        <v>18550</v>
      </c>
      <c r="K197" s="679">
        <v>19650</v>
      </c>
      <c r="L197" s="544">
        <v>19900</v>
      </c>
      <c r="M197" s="544">
        <v>21300</v>
      </c>
      <c r="N197" s="544">
        <v>25250</v>
      </c>
      <c r="O197" s="544">
        <v>25950</v>
      </c>
      <c r="P197" s="544">
        <v>27350</v>
      </c>
      <c r="Q197" s="544">
        <v>27450</v>
      </c>
      <c r="R197" s="544">
        <v>27850</v>
      </c>
      <c r="S197" s="544">
        <v>28800</v>
      </c>
      <c r="T197" s="544">
        <v>28800</v>
      </c>
      <c r="U197" s="544">
        <v>29100</v>
      </c>
      <c r="V197" s="680">
        <v>30100</v>
      </c>
      <c r="W197" s="681">
        <v>30400</v>
      </c>
      <c r="X197" s="682">
        <v>28900</v>
      </c>
      <c r="Y197" s="682">
        <v>29100</v>
      </c>
      <c r="Z197" s="682">
        <v>28500</v>
      </c>
      <c r="AA197" s="682">
        <v>29900</v>
      </c>
      <c r="AB197" s="682">
        <v>30500</v>
      </c>
      <c r="AC197" s="683">
        <v>30250</v>
      </c>
      <c r="AD197" s="683">
        <v>31300</v>
      </c>
      <c r="AE197" s="683">
        <v>34000</v>
      </c>
      <c r="AF197" s="683">
        <v>37400</v>
      </c>
      <c r="AG197" s="691">
        <v>39250</v>
      </c>
      <c r="AH197" s="691"/>
    </row>
    <row r="198" spans="2:34" ht="15" x14ac:dyDescent="0.25">
      <c r="B198" s="684" t="s">
        <v>399</v>
      </c>
      <c r="C198" s="679">
        <v>13700</v>
      </c>
      <c r="D198" s="679">
        <v>14600</v>
      </c>
      <c r="E198" s="679">
        <v>14950</v>
      </c>
      <c r="F198" s="679">
        <v>15900</v>
      </c>
      <c r="G198" s="679">
        <v>16300</v>
      </c>
      <c r="H198" s="679">
        <v>16300</v>
      </c>
      <c r="I198" s="679">
        <v>17550</v>
      </c>
      <c r="J198" s="679">
        <v>18550</v>
      </c>
      <c r="K198" s="679">
        <v>19650</v>
      </c>
      <c r="L198" s="544">
        <v>19900</v>
      </c>
      <c r="M198" s="544">
        <v>21300</v>
      </c>
      <c r="N198" s="544">
        <v>22500</v>
      </c>
      <c r="O198" s="544">
        <v>22900</v>
      </c>
      <c r="P198" s="544">
        <v>24150</v>
      </c>
      <c r="Q198" s="544">
        <v>24850</v>
      </c>
      <c r="R198" s="544">
        <v>25100</v>
      </c>
      <c r="S198" s="544">
        <v>25700</v>
      </c>
      <c r="T198" s="544">
        <v>25700</v>
      </c>
      <c r="U198" s="544">
        <v>25900</v>
      </c>
      <c r="V198" s="680">
        <v>26850</v>
      </c>
      <c r="W198" s="681">
        <v>27100</v>
      </c>
      <c r="X198" s="682">
        <v>28100</v>
      </c>
      <c r="Y198" s="682">
        <v>28500</v>
      </c>
      <c r="Z198" s="682">
        <v>28500</v>
      </c>
      <c r="AA198" s="682">
        <v>29900</v>
      </c>
      <c r="AB198" s="682">
        <v>30500</v>
      </c>
      <c r="AC198" s="683">
        <v>30250</v>
      </c>
      <c r="AD198" s="683">
        <v>31300</v>
      </c>
      <c r="AE198" s="683">
        <v>34000</v>
      </c>
      <c r="AF198" s="683">
        <v>35000</v>
      </c>
      <c r="AG198" s="691">
        <v>35800</v>
      </c>
      <c r="AH198" s="691"/>
    </row>
    <row r="199" spans="2:34" ht="15" x14ac:dyDescent="0.25">
      <c r="B199" s="684" t="s">
        <v>400</v>
      </c>
      <c r="C199" s="679">
        <v>13700</v>
      </c>
      <c r="D199" s="679">
        <v>14600</v>
      </c>
      <c r="E199" s="679">
        <v>14950</v>
      </c>
      <c r="F199" s="679">
        <v>15900</v>
      </c>
      <c r="G199" s="679">
        <v>16300</v>
      </c>
      <c r="H199" s="679">
        <v>16300</v>
      </c>
      <c r="I199" s="679">
        <v>17550</v>
      </c>
      <c r="J199" s="679">
        <v>18550</v>
      </c>
      <c r="K199" s="679">
        <v>19650</v>
      </c>
      <c r="L199" s="544">
        <v>19900</v>
      </c>
      <c r="M199" s="544">
        <v>21300</v>
      </c>
      <c r="N199" s="544">
        <v>22500</v>
      </c>
      <c r="O199" s="544">
        <v>22900</v>
      </c>
      <c r="P199" s="544">
        <v>24150</v>
      </c>
      <c r="Q199" s="544">
        <v>24850</v>
      </c>
      <c r="R199" s="544">
        <v>25100</v>
      </c>
      <c r="S199" s="544">
        <v>25700</v>
      </c>
      <c r="T199" s="544">
        <v>25700</v>
      </c>
      <c r="U199" s="544">
        <v>25900</v>
      </c>
      <c r="V199" s="680">
        <v>26850</v>
      </c>
      <c r="W199" s="681">
        <v>27100</v>
      </c>
      <c r="X199" s="682">
        <v>28100</v>
      </c>
      <c r="Y199" s="682">
        <v>28500</v>
      </c>
      <c r="Z199" s="682">
        <v>28500</v>
      </c>
      <c r="AA199" s="682">
        <v>29900</v>
      </c>
      <c r="AB199" s="682">
        <v>30500</v>
      </c>
      <c r="AC199" s="683">
        <v>30250</v>
      </c>
      <c r="AD199" s="683">
        <v>31300</v>
      </c>
      <c r="AE199" s="683">
        <v>34000</v>
      </c>
      <c r="AF199" s="683">
        <v>35000</v>
      </c>
      <c r="AG199" s="691">
        <v>35800</v>
      </c>
      <c r="AH199" s="691"/>
    </row>
    <row r="200" spans="2:34" ht="15" x14ac:dyDescent="0.25">
      <c r="B200" s="684" t="s">
        <v>401</v>
      </c>
      <c r="C200" s="679">
        <v>14900</v>
      </c>
      <c r="D200" s="679">
        <v>15750</v>
      </c>
      <c r="E200" s="679">
        <v>16550</v>
      </c>
      <c r="F200" s="679">
        <v>17650</v>
      </c>
      <c r="G200" s="679">
        <v>18150</v>
      </c>
      <c r="H200" s="679">
        <v>18150</v>
      </c>
      <c r="I200" s="679">
        <v>19400</v>
      </c>
      <c r="J200" s="679">
        <v>20300</v>
      </c>
      <c r="K200" s="679">
        <v>21800</v>
      </c>
      <c r="L200" s="544">
        <v>22200</v>
      </c>
      <c r="M200" s="544">
        <v>22300</v>
      </c>
      <c r="N200" s="544">
        <v>26200</v>
      </c>
      <c r="O200" s="544">
        <v>26200</v>
      </c>
      <c r="P200" s="544">
        <v>26700</v>
      </c>
      <c r="Q200" s="544">
        <v>27850</v>
      </c>
      <c r="R200" s="544">
        <v>27850</v>
      </c>
      <c r="S200" s="544">
        <v>28600</v>
      </c>
      <c r="T200" s="544">
        <v>28600</v>
      </c>
      <c r="U200" s="544">
        <v>28750</v>
      </c>
      <c r="V200" s="680">
        <v>30500</v>
      </c>
      <c r="W200" s="681">
        <v>30350</v>
      </c>
      <c r="X200" s="682">
        <v>31450</v>
      </c>
      <c r="Y200" s="682">
        <v>31900</v>
      </c>
      <c r="Z200" s="682">
        <v>32250</v>
      </c>
      <c r="AA200" s="682">
        <v>33600</v>
      </c>
      <c r="AB200" s="682">
        <v>34300</v>
      </c>
      <c r="AC200" s="683">
        <v>34400</v>
      </c>
      <c r="AD200" s="683">
        <v>35950</v>
      </c>
      <c r="AE200" s="683">
        <v>37600</v>
      </c>
      <c r="AF200" s="683">
        <v>37450</v>
      </c>
      <c r="AG200" s="691">
        <v>38900</v>
      </c>
      <c r="AH200" s="691"/>
    </row>
    <row r="201" spans="2:34" ht="15" x14ac:dyDescent="0.25">
      <c r="B201" s="684" t="s">
        <v>402</v>
      </c>
      <c r="C201" s="679">
        <v>13700</v>
      </c>
      <c r="D201" s="679">
        <v>14600</v>
      </c>
      <c r="E201" s="679">
        <v>14950</v>
      </c>
      <c r="F201" s="679">
        <v>15900</v>
      </c>
      <c r="G201" s="679">
        <v>16300</v>
      </c>
      <c r="H201" s="679">
        <v>16300</v>
      </c>
      <c r="I201" s="679">
        <v>17550</v>
      </c>
      <c r="J201" s="679">
        <v>18550</v>
      </c>
      <c r="K201" s="679">
        <v>19650</v>
      </c>
      <c r="L201" s="544">
        <v>19900</v>
      </c>
      <c r="M201" s="544">
        <v>21300</v>
      </c>
      <c r="N201" s="544">
        <v>22500</v>
      </c>
      <c r="O201" s="544">
        <v>22900</v>
      </c>
      <c r="P201" s="544">
        <v>24150</v>
      </c>
      <c r="Q201" s="544">
        <v>24850</v>
      </c>
      <c r="R201" s="544">
        <v>25100</v>
      </c>
      <c r="S201" s="544">
        <v>25700</v>
      </c>
      <c r="T201" s="544">
        <v>25700</v>
      </c>
      <c r="U201" s="544">
        <v>25900</v>
      </c>
      <c r="V201" s="680">
        <v>26850</v>
      </c>
      <c r="W201" s="681">
        <v>27100</v>
      </c>
      <c r="X201" s="682">
        <v>28450</v>
      </c>
      <c r="Y201" s="682">
        <v>29600</v>
      </c>
      <c r="Z201" s="682">
        <v>29100</v>
      </c>
      <c r="AA201" s="682">
        <v>30550</v>
      </c>
      <c r="AB201" s="682">
        <v>32350</v>
      </c>
      <c r="AC201" s="683">
        <v>32050</v>
      </c>
      <c r="AD201" s="683">
        <v>32000</v>
      </c>
      <c r="AE201" s="683">
        <v>34000</v>
      </c>
      <c r="AF201" s="683">
        <v>35000</v>
      </c>
      <c r="AG201" s="691">
        <v>35800</v>
      </c>
      <c r="AH201" s="691"/>
    </row>
    <row r="202" spans="2:34" ht="15" x14ac:dyDescent="0.25">
      <c r="B202" s="684" t="s">
        <v>403</v>
      </c>
      <c r="C202" s="679">
        <v>13700</v>
      </c>
      <c r="D202" s="679">
        <v>14600</v>
      </c>
      <c r="E202" s="679">
        <v>14950</v>
      </c>
      <c r="F202" s="679">
        <v>16150</v>
      </c>
      <c r="G202" s="679">
        <v>16300</v>
      </c>
      <c r="H202" s="679">
        <v>16450</v>
      </c>
      <c r="I202" s="679">
        <v>17650</v>
      </c>
      <c r="J202" s="679">
        <v>18550</v>
      </c>
      <c r="K202" s="679">
        <v>19650</v>
      </c>
      <c r="L202" s="544">
        <v>19900</v>
      </c>
      <c r="M202" s="544">
        <v>21300</v>
      </c>
      <c r="N202" s="544">
        <v>24750</v>
      </c>
      <c r="O202" s="544">
        <v>24850</v>
      </c>
      <c r="P202" s="544">
        <v>25200</v>
      </c>
      <c r="Q202" s="544">
        <v>25550</v>
      </c>
      <c r="R202" s="544">
        <v>26550</v>
      </c>
      <c r="S202" s="544">
        <v>27450</v>
      </c>
      <c r="T202" s="544">
        <v>27450</v>
      </c>
      <c r="U202" s="544">
        <v>27750</v>
      </c>
      <c r="V202" s="680">
        <v>28700</v>
      </c>
      <c r="W202" s="681">
        <v>28950</v>
      </c>
      <c r="X202" s="682">
        <v>28700</v>
      </c>
      <c r="Y202" s="682">
        <v>29100</v>
      </c>
      <c r="Z202" s="682">
        <v>30550</v>
      </c>
      <c r="AA202" s="682">
        <v>32050</v>
      </c>
      <c r="AB202" s="682">
        <v>33950</v>
      </c>
      <c r="AC202" s="683">
        <v>33450</v>
      </c>
      <c r="AD202" s="683">
        <v>32350</v>
      </c>
      <c r="AE202" s="683">
        <v>34000</v>
      </c>
      <c r="AF202" s="683">
        <v>35000</v>
      </c>
      <c r="AG202" s="691">
        <v>35800</v>
      </c>
      <c r="AH202" s="691"/>
    </row>
    <row r="203" spans="2:34" ht="15" x14ac:dyDescent="0.25">
      <c r="B203" s="684" t="s">
        <v>404</v>
      </c>
      <c r="C203" s="679">
        <v>15900</v>
      </c>
      <c r="D203" s="679">
        <v>16750</v>
      </c>
      <c r="E203" s="679">
        <v>16950</v>
      </c>
      <c r="F203" s="679">
        <v>17650</v>
      </c>
      <c r="G203" s="679">
        <v>21350</v>
      </c>
      <c r="H203" s="679">
        <v>21450</v>
      </c>
      <c r="I203" s="679">
        <v>22950</v>
      </c>
      <c r="J203" s="679">
        <v>23750</v>
      </c>
      <c r="K203" s="679">
        <v>24150</v>
      </c>
      <c r="L203" s="544">
        <v>26800</v>
      </c>
      <c r="M203" s="544">
        <v>28100</v>
      </c>
      <c r="N203" s="544">
        <v>31200</v>
      </c>
      <c r="O203" s="544">
        <v>32200</v>
      </c>
      <c r="P203" s="544">
        <v>32200</v>
      </c>
      <c r="Q203" s="544">
        <v>32200</v>
      </c>
      <c r="R203" s="544">
        <v>32650</v>
      </c>
      <c r="S203" s="544">
        <v>33250</v>
      </c>
      <c r="T203" s="544">
        <v>33250</v>
      </c>
      <c r="U203" s="544">
        <v>33550</v>
      </c>
      <c r="V203" s="680">
        <v>34950</v>
      </c>
      <c r="W203" s="681">
        <v>35150</v>
      </c>
      <c r="X203" s="682">
        <v>35300</v>
      </c>
      <c r="Y203" s="682">
        <v>35750</v>
      </c>
      <c r="Z203" s="682">
        <v>36350</v>
      </c>
      <c r="AA203" s="682">
        <v>36500</v>
      </c>
      <c r="AB203" s="682">
        <v>36400</v>
      </c>
      <c r="AC203" s="683">
        <v>36050</v>
      </c>
      <c r="AD203" s="683">
        <v>37500</v>
      </c>
      <c r="AE203" s="683">
        <v>40800</v>
      </c>
      <c r="AF203" s="683">
        <v>43000</v>
      </c>
      <c r="AG203" s="691">
        <v>43500</v>
      </c>
      <c r="AH203" s="691"/>
    </row>
    <row r="204" spans="2:34" ht="15" x14ac:dyDescent="0.25">
      <c r="B204" s="684" t="s">
        <v>405</v>
      </c>
      <c r="C204" s="679">
        <v>13700</v>
      </c>
      <c r="D204" s="679">
        <v>14600</v>
      </c>
      <c r="E204" s="679">
        <v>14950</v>
      </c>
      <c r="F204" s="679">
        <v>15900</v>
      </c>
      <c r="G204" s="679">
        <v>16300</v>
      </c>
      <c r="H204" s="679">
        <v>16300</v>
      </c>
      <c r="I204" s="679">
        <v>17550</v>
      </c>
      <c r="J204" s="679">
        <v>18550</v>
      </c>
      <c r="K204" s="679">
        <v>19650</v>
      </c>
      <c r="L204" s="544">
        <v>19900</v>
      </c>
      <c r="M204" s="544">
        <v>21300</v>
      </c>
      <c r="N204" s="544">
        <v>22500</v>
      </c>
      <c r="O204" s="544">
        <v>22900</v>
      </c>
      <c r="P204" s="544">
        <v>24150</v>
      </c>
      <c r="Q204" s="544">
        <v>24850</v>
      </c>
      <c r="R204" s="544">
        <v>25100</v>
      </c>
      <c r="S204" s="544">
        <v>25700</v>
      </c>
      <c r="T204" s="544">
        <v>25700</v>
      </c>
      <c r="U204" s="544">
        <v>25900</v>
      </c>
      <c r="V204" s="680">
        <v>26850</v>
      </c>
      <c r="W204" s="681">
        <v>27100</v>
      </c>
      <c r="X204" s="682">
        <v>28250</v>
      </c>
      <c r="Y204" s="682">
        <v>28650</v>
      </c>
      <c r="Z204" s="682">
        <v>28500</v>
      </c>
      <c r="AA204" s="682">
        <v>29900</v>
      </c>
      <c r="AB204" s="682">
        <v>30500</v>
      </c>
      <c r="AC204" s="683">
        <v>30250</v>
      </c>
      <c r="AD204" s="683">
        <v>32150</v>
      </c>
      <c r="AE204" s="683">
        <v>35450</v>
      </c>
      <c r="AF204" s="683">
        <v>36450</v>
      </c>
      <c r="AG204" s="691">
        <v>37800</v>
      </c>
      <c r="AH204" s="691"/>
    </row>
    <row r="205" spans="2:34" ht="15" x14ac:dyDescent="0.25">
      <c r="B205" s="684" t="s">
        <v>406</v>
      </c>
      <c r="C205" s="679">
        <v>13700</v>
      </c>
      <c r="D205" s="679">
        <v>14600</v>
      </c>
      <c r="E205" s="679">
        <v>14950</v>
      </c>
      <c r="F205" s="679">
        <v>15900</v>
      </c>
      <c r="G205" s="679">
        <v>16300</v>
      </c>
      <c r="H205" s="679">
        <v>16300</v>
      </c>
      <c r="I205" s="679">
        <v>17550</v>
      </c>
      <c r="J205" s="679">
        <v>18550</v>
      </c>
      <c r="K205" s="679">
        <v>19650</v>
      </c>
      <c r="L205" s="544">
        <v>19900</v>
      </c>
      <c r="M205" s="544">
        <v>21300</v>
      </c>
      <c r="N205" s="544">
        <v>22500</v>
      </c>
      <c r="O205" s="544">
        <v>22900</v>
      </c>
      <c r="P205" s="544">
        <v>24150</v>
      </c>
      <c r="Q205" s="544">
        <v>24850</v>
      </c>
      <c r="R205" s="544">
        <v>25100</v>
      </c>
      <c r="S205" s="544">
        <v>25700</v>
      </c>
      <c r="T205" s="544">
        <v>25700</v>
      </c>
      <c r="U205" s="544">
        <v>25900</v>
      </c>
      <c r="V205" s="680">
        <v>26850</v>
      </c>
      <c r="W205" s="681">
        <v>27100</v>
      </c>
      <c r="X205" s="682">
        <v>28100</v>
      </c>
      <c r="Y205" s="682">
        <v>28500</v>
      </c>
      <c r="Z205" s="682">
        <v>28500</v>
      </c>
      <c r="AA205" s="682">
        <v>29900</v>
      </c>
      <c r="AB205" s="682">
        <v>30500</v>
      </c>
      <c r="AC205" s="683">
        <v>30250</v>
      </c>
      <c r="AD205" s="683">
        <v>31300</v>
      </c>
      <c r="AE205" s="683">
        <v>34000</v>
      </c>
      <c r="AF205" s="683">
        <v>35000</v>
      </c>
      <c r="AG205" s="691">
        <v>35800</v>
      </c>
      <c r="AH205" s="691"/>
    </row>
    <row r="206" spans="2:34" ht="15" x14ac:dyDescent="0.25">
      <c r="B206" s="684" t="s">
        <v>407</v>
      </c>
      <c r="C206" s="679">
        <v>13700</v>
      </c>
      <c r="D206" s="679">
        <v>14600</v>
      </c>
      <c r="E206" s="679">
        <v>14950</v>
      </c>
      <c r="F206" s="679">
        <v>15900</v>
      </c>
      <c r="G206" s="679">
        <v>16300</v>
      </c>
      <c r="H206" s="679">
        <v>16300</v>
      </c>
      <c r="I206" s="679">
        <v>17550</v>
      </c>
      <c r="J206" s="679">
        <v>18550</v>
      </c>
      <c r="K206" s="679">
        <v>19650</v>
      </c>
      <c r="L206" s="544">
        <v>19900</v>
      </c>
      <c r="M206" s="544">
        <v>21300</v>
      </c>
      <c r="N206" s="544">
        <v>22500</v>
      </c>
      <c r="O206" s="544">
        <v>22900</v>
      </c>
      <c r="P206" s="544">
        <v>24150</v>
      </c>
      <c r="Q206" s="544">
        <v>24850</v>
      </c>
      <c r="R206" s="544">
        <v>25100</v>
      </c>
      <c r="S206" s="544">
        <v>25700</v>
      </c>
      <c r="T206" s="544">
        <v>25700</v>
      </c>
      <c r="U206" s="544">
        <v>25900</v>
      </c>
      <c r="V206" s="680">
        <v>26850</v>
      </c>
      <c r="W206" s="681">
        <v>27100</v>
      </c>
      <c r="X206" s="682">
        <v>28100</v>
      </c>
      <c r="Y206" s="682">
        <v>28500</v>
      </c>
      <c r="Z206" s="682">
        <v>28500</v>
      </c>
      <c r="AA206" s="682">
        <v>29900</v>
      </c>
      <c r="AB206" s="682">
        <v>30500</v>
      </c>
      <c r="AC206" s="683">
        <v>30250</v>
      </c>
      <c r="AD206" s="683">
        <v>31300</v>
      </c>
      <c r="AE206" s="683">
        <v>34000</v>
      </c>
      <c r="AF206" s="683">
        <v>35000</v>
      </c>
      <c r="AG206" s="691">
        <v>35800</v>
      </c>
      <c r="AH206" s="691"/>
    </row>
    <row r="207" spans="2:34" ht="15" x14ac:dyDescent="0.25">
      <c r="B207" s="684" t="s">
        <v>408</v>
      </c>
      <c r="C207" s="679">
        <v>14000</v>
      </c>
      <c r="D207" s="679">
        <v>14650</v>
      </c>
      <c r="E207" s="679">
        <v>14950</v>
      </c>
      <c r="F207" s="679">
        <v>16100</v>
      </c>
      <c r="G207" s="679">
        <v>16300</v>
      </c>
      <c r="H207" s="679">
        <v>16650</v>
      </c>
      <c r="I207" s="679">
        <v>17650</v>
      </c>
      <c r="J207" s="679">
        <v>18550</v>
      </c>
      <c r="K207" s="679">
        <v>19650</v>
      </c>
      <c r="L207" s="544">
        <v>19900</v>
      </c>
      <c r="M207" s="544">
        <v>21300</v>
      </c>
      <c r="N207" s="544">
        <v>25550</v>
      </c>
      <c r="O207" s="544">
        <v>26850</v>
      </c>
      <c r="P207" s="544">
        <v>26850</v>
      </c>
      <c r="Q207" s="544">
        <v>26850</v>
      </c>
      <c r="R207" s="544">
        <v>26850</v>
      </c>
      <c r="S207" s="544">
        <v>26850</v>
      </c>
      <c r="T207" s="544">
        <v>26850</v>
      </c>
      <c r="U207" s="544">
        <v>26850</v>
      </c>
      <c r="V207" s="680">
        <v>26850</v>
      </c>
      <c r="W207" s="681">
        <v>27100</v>
      </c>
      <c r="X207" s="682">
        <v>28450</v>
      </c>
      <c r="Y207" s="682">
        <v>29850</v>
      </c>
      <c r="Z207" s="682">
        <v>31300</v>
      </c>
      <c r="AA207" s="682">
        <v>32450</v>
      </c>
      <c r="AB207" s="682">
        <v>32350</v>
      </c>
      <c r="AC207" s="683">
        <v>33100</v>
      </c>
      <c r="AD207" s="683">
        <v>35400</v>
      </c>
      <c r="AE207" s="683">
        <v>37650</v>
      </c>
      <c r="AF207" s="683">
        <v>40150</v>
      </c>
      <c r="AG207" s="691">
        <v>41100</v>
      </c>
      <c r="AH207" s="691"/>
    </row>
    <row r="208" spans="2:34" ht="15" x14ac:dyDescent="0.25">
      <c r="B208" s="684" t="s">
        <v>409</v>
      </c>
      <c r="C208" s="679">
        <v>13700</v>
      </c>
      <c r="D208" s="679">
        <v>14600</v>
      </c>
      <c r="E208" s="679">
        <v>15000</v>
      </c>
      <c r="F208" s="679">
        <v>15900</v>
      </c>
      <c r="G208" s="679">
        <v>16300</v>
      </c>
      <c r="H208" s="679">
        <v>16300</v>
      </c>
      <c r="I208" s="679">
        <v>17550</v>
      </c>
      <c r="J208" s="679">
        <v>18550</v>
      </c>
      <c r="K208" s="679">
        <v>19650</v>
      </c>
      <c r="L208" s="544">
        <v>19900</v>
      </c>
      <c r="M208" s="544">
        <v>21300</v>
      </c>
      <c r="N208" s="544">
        <v>22500</v>
      </c>
      <c r="O208" s="544">
        <v>22900</v>
      </c>
      <c r="P208" s="544">
        <v>24150</v>
      </c>
      <c r="Q208" s="544">
        <v>24850</v>
      </c>
      <c r="R208" s="544">
        <v>25100</v>
      </c>
      <c r="S208" s="544">
        <v>25700</v>
      </c>
      <c r="T208" s="544">
        <v>25700</v>
      </c>
      <c r="U208" s="544">
        <v>25900</v>
      </c>
      <c r="V208" s="680">
        <v>26850</v>
      </c>
      <c r="W208" s="681">
        <v>27100</v>
      </c>
      <c r="X208" s="682">
        <v>28100</v>
      </c>
      <c r="Y208" s="682">
        <v>28500</v>
      </c>
      <c r="Z208" s="682">
        <v>28500</v>
      </c>
      <c r="AA208" s="682">
        <v>29900</v>
      </c>
      <c r="AB208" s="682">
        <v>30500</v>
      </c>
      <c r="AC208" s="683">
        <v>30250</v>
      </c>
      <c r="AD208" s="683">
        <v>31300</v>
      </c>
      <c r="AE208" s="683">
        <v>34000</v>
      </c>
      <c r="AF208" s="683">
        <v>35000</v>
      </c>
      <c r="AG208" s="691">
        <v>35800</v>
      </c>
      <c r="AH208" s="691"/>
    </row>
    <row r="209" spans="2:34" ht="15" x14ac:dyDescent="0.25">
      <c r="B209" s="684" t="s">
        <v>410</v>
      </c>
      <c r="C209" s="679">
        <v>13700</v>
      </c>
      <c r="D209" s="679">
        <v>14600</v>
      </c>
      <c r="E209" s="679">
        <v>14950</v>
      </c>
      <c r="F209" s="679">
        <v>15900</v>
      </c>
      <c r="G209" s="679">
        <v>16300</v>
      </c>
      <c r="H209" s="679">
        <v>16300</v>
      </c>
      <c r="I209" s="679">
        <v>17550</v>
      </c>
      <c r="J209" s="679">
        <v>18550</v>
      </c>
      <c r="K209" s="679">
        <v>19650</v>
      </c>
      <c r="L209" s="544">
        <v>19900</v>
      </c>
      <c r="M209" s="544">
        <v>21300</v>
      </c>
      <c r="N209" s="544">
        <v>22650</v>
      </c>
      <c r="O209" s="544">
        <v>23600</v>
      </c>
      <c r="P209" s="544">
        <v>24150</v>
      </c>
      <c r="Q209" s="544">
        <v>24850</v>
      </c>
      <c r="R209" s="544">
        <v>25100</v>
      </c>
      <c r="S209" s="544">
        <v>25700</v>
      </c>
      <c r="T209" s="544">
        <v>25700</v>
      </c>
      <c r="U209" s="544">
        <v>25900</v>
      </c>
      <c r="V209" s="680">
        <v>26850</v>
      </c>
      <c r="W209" s="681">
        <v>27100</v>
      </c>
      <c r="X209" s="682">
        <v>28100</v>
      </c>
      <c r="Y209" s="682">
        <v>28500</v>
      </c>
      <c r="Z209" s="682">
        <v>29300</v>
      </c>
      <c r="AA209" s="682">
        <v>30000</v>
      </c>
      <c r="AB209" s="682">
        <v>30550</v>
      </c>
      <c r="AC209" s="683">
        <v>31750</v>
      </c>
      <c r="AD209" s="683">
        <v>32550</v>
      </c>
      <c r="AE209" s="683">
        <v>34000</v>
      </c>
      <c r="AF209" s="683">
        <v>35000</v>
      </c>
      <c r="AG209" s="691">
        <v>35800</v>
      </c>
      <c r="AH209" s="691"/>
    </row>
    <row r="210" spans="2:34" ht="15" x14ac:dyDescent="0.25">
      <c r="B210" s="684" t="s">
        <v>411</v>
      </c>
      <c r="C210" s="679">
        <v>13700</v>
      </c>
      <c r="D210" s="679">
        <v>14600</v>
      </c>
      <c r="E210" s="679">
        <v>14950</v>
      </c>
      <c r="F210" s="679">
        <v>15900</v>
      </c>
      <c r="G210" s="679">
        <v>16300</v>
      </c>
      <c r="H210" s="679">
        <v>16300</v>
      </c>
      <c r="I210" s="679">
        <v>17550</v>
      </c>
      <c r="J210" s="679">
        <v>18550</v>
      </c>
      <c r="K210" s="679">
        <v>19650</v>
      </c>
      <c r="L210" s="544">
        <v>19900</v>
      </c>
      <c r="M210" s="544">
        <v>21300</v>
      </c>
      <c r="N210" s="544">
        <v>22500</v>
      </c>
      <c r="O210" s="544">
        <v>22900</v>
      </c>
      <c r="P210" s="544">
        <v>24150</v>
      </c>
      <c r="Q210" s="544">
        <v>24850</v>
      </c>
      <c r="R210" s="544">
        <v>25100</v>
      </c>
      <c r="S210" s="544">
        <v>25700</v>
      </c>
      <c r="T210" s="544">
        <v>25700</v>
      </c>
      <c r="U210" s="544">
        <v>25900</v>
      </c>
      <c r="V210" s="680">
        <v>26850</v>
      </c>
      <c r="W210" s="681">
        <v>27100</v>
      </c>
      <c r="X210" s="682">
        <v>28450</v>
      </c>
      <c r="Y210" s="682">
        <v>29400</v>
      </c>
      <c r="Z210" s="682">
        <v>29550</v>
      </c>
      <c r="AA210" s="682">
        <v>31000</v>
      </c>
      <c r="AB210" s="682">
        <v>31750</v>
      </c>
      <c r="AC210" s="683">
        <v>30250</v>
      </c>
      <c r="AD210" s="683">
        <v>31550</v>
      </c>
      <c r="AE210" s="683">
        <v>34000</v>
      </c>
      <c r="AF210" s="683">
        <v>35000</v>
      </c>
      <c r="AG210" s="691">
        <v>35800</v>
      </c>
      <c r="AH210" s="691"/>
    </row>
    <row r="211" spans="2:34" ht="15" x14ac:dyDescent="0.25">
      <c r="B211" s="684" t="s">
        <v>412</v>
      </c>
      <c r="C211" s="679">
        <v>13700</v>
      </c>
      <c r="D211" s="679">
        <v>14600</v>
      </c>
      <c r="E211" s="679">
        <v>14950</v>
      </c>
      <c r="F211" s="679">
        <v>15900</v>
      </c>
      <c r="G211" s="679">
        <v>16300</v>
      </c>
      <c r="H211" s="679">
        <v>16300</v>
      </c>
      <c r="I211" s="679">
        <v>17550</v>
      </c>
      <c r="J211" s="679">
        <v>18550</v>
      </c>
      <c r="K211" s="679">
        <v>19650</v>
      </c>
      <c r="L211" s="544">
        <v>19900</v>
      </c>
      <c r="M211" s="544">
        <v>21300</v>
      </c>
      <c r="N211" s="544">
        <v>22500</v>
      </c>
      <c r="O211" s="544">
        <v>22900</v>
      </c>
      <c r="P211" s="544">
        <v>24150</v>
      </c>
      <c r="Q211" s="544">
        <v>24850</v>
      </c>
      <c r="R211" s="544">
        <v>25100</v>
      </c>
      <c r="S211" s="544">
        <v>25700</v>
      </c>
      <c r="T211" s="544">
        <v>25700</v>
      </c>
      <c r="U211" s="544">
        <v>25900</v>
      </c>
      <c r="V211" s="680">
        <v>26850</v>
      </c>
      <c r="W211" s="681">
        <v>27100</v>
      </c>
      <c r="X211" s="682">
        <v>28100</v>
      </c>
      <c r="Y211" s="682">
        <v>28500</v>
      </c>
      <c r="Z211" s="682">
        <v>28500</v>
      </c>
      <c r="AA211" s="682">
        <v>29900</v>
      </c>
      <c r="AB211" s="682">
        <v>30500</v>
      </c>
      <c r="AC211" s="683">
        <v>30250</v>
      </c>
      <c r="AD211" s="683">
        <v>31300</v>
      </c>
      <c r="AE211" s="683">
        <v>34000</v>
      </c>
      <c r="AF211" s="683">
        <v>35000</v>
      </c>
      <c r="AG211" s="691">
        <v>35800</v>
      </c>
      <c r="AH211" s="691"/>
    </row>
    <row r="212" spans="2:34" ht="15" x14ac:dyDescent="0.25">
      <c r="B212" s="684" t="s">
        <v>413</v>
      </c>
      <c r="C212" s="679">
        <v>15400</v>
      </c>
      <c r="D212" s="679">
        <v>16700</v>
      </c>
      <c r="E212" s="679">
        <v>17200</v>
      </c>
      <c r="F212" s="679">
        <v>17450</v>
      </c>
      <c r="G212" s="679">
        <v>18250</v>
      </c>
      <c r="H212" s="679">
        <v>18500</v>
      </c>
      <c r="I212" s="679">
        <v>19700</v>
      </c>
      <c r="J212" s="679">
        <v>20850</v>
      </c>
      <c r="K212" s="679">
        <v>22500</v>
      </c>
      <c r="L212" s="544">
        <v>23000</v>
      </c>
      <c r="M212" s="544">
        <v>24050</v>
      </c>
      <c r="N212" s="544">
        <v>25950</v>
      </c>
      <c r="O212" s="544">
        <v>26150</v>
      </c>
      <c r="P212" s="544">
        <v>26150</v>
      </c>
      <c r="Q212" s="544">
        <v>26300</v>
      </c>
      <c r="R212" s="544">
        <v>27550</v>
      </c>
      <c r="S212" s="544">
        <v>27850</v>
      </c>
      <c r="T212" s="544">
        <v>27850</v>
      </c>
      <c r="U212" s="544">
        <v>27850</v>
      </c>
      <c r="V212" s="680">
        <v>29400</v>
      </c>
      <c r="W212" s="681">
        <v>29200</v>
      </c>
      <c r="X212" s="682">
        <v>29400</v>
      </c>
      <c r="Y212" s="682">
        <v>29800</v>
      </c>
      <c r="Z212" s="682">
        <v>29900</v>
      </c>
      <c r="AA212" s="682">
        <v>29800</v>
      </c>
      <c r="AB212" s="682">
        <v>30900</v>
      </c>
      <c r="AC212" s="683">
        <v>31650</v>
      </c>
      <c r="AD212" s="683">
        <v>31950</v>
      </c>
      <c r="AE212" s="683">
        <v>33900</v>
      </c>
      <c r="AF212" s="683">
        <v>34750</v>
      </c>
      <c r="AG212" s="691">
        <v>37500</v>
      </c>
      <c r="AH212" s="691"/>
    </row>
    <row r="213" spans="2:34" ht="15" x14ac:dyDescent="0.25">
      <c r="B213" s="684" t="s">
        <v>414</v>
      </c>
      <c r="C213" s="679">
        <v>13700</v>
      </c>
      <c r="D213" s="679">
        <v>14600</v>
      </c>
      <c r="E213" s="679">
        <v>14950</v>
      </c>
      <c r="F213" s="679">
        <v>15900</v>
      </c>
      <c r="G213" s="679">
        <v>16300</v>
      </c>
      <c r="H213" s="679">
        <v>16300</v>
      </c>
      <c r="I213" s="679">
        <v>17550</v>
      </c>
      <c r="J213" s="679">
        <v>18550</v>
      </c>
      <c r="K213" s="679">
        <v>19650</v>
      </c>
      <c r="L213" s="544">
        <v>19900</v>
      </c>
      <c r="M213" s="544">
        <v>21300</v>
      </c>
      <c r="N213" s="544">
        <v>22500</v>
      </c>
      <c r="O213" s="544">
        <v>22900</v>
      </c>
      <c r="P213" s="544">
        <v>24150</v>
      </c>
      <c r="Q213" s="544">
        <v>24850</v>
      </c>
      <c r="R213" s="544">
        <v>25100</v>
      </c>
      <c r="S213" s="544">
        <v>25700</v>
      </c>
      <c r="T213" s="544">
        <v>25700</v>
      </c>
      <c r="U213" s="544">
        <v>25900</v>
      </c>
      <c r="V213" s="680">
        <v>26850</v>
      </c>
      <c r="W213" s="681">
        <v>27100</v>
      </c>
      <c r="X213" s="682">
        <v>28100</v>
      </c>
      <c r="Y213" s="682">
        <v>28500</v>
      </c>
      <c r="Z213" s="682">
        <v>28500</v>
      </c>
      <c r="AA213" s="682">
        <v>29900</v>
      </c>
      <c r="AB213" s="682">
        <v>30500</v>
      </c>
      <c r="AC213" s="683">
        <v>32000</v>
      </c>
      <c r="AD213" s="683">
        <v>31850</v>
      </c>
      <c r="AE213" s="683">
        <v>34000</v>
      </c>
      <c r="AF213" s="683">
        <v>35000</v>
      </c>
      <c r="AG213" s="691">
        <v>35800</v>
      </c>
      <c r="AH213" s="691"/>
    </row>
    <row r="214" spans="2:34" ht="15" x14ac:dyDescent="0.25">
      <c r="B214" s="684" t="s">
        <v>415</v>
      </c>
      <c r="C214" s="679">
        <v>14100</v>
      </c>
      <c r="D214" s="679">
        <v>15100</v>
      </c>
      <c r="E214" s="679">
        <v>15200</v>
      </c>
      <c r="F214" s="679">
        <v>15900</v>
      </c>
      <c r="G214" s="679">
        <v>16300</v>
      </c>
      <c r="H214" s="679">
        <v>16300</v>
      </c>
      <c r="I214" s="679">
        <v>17550</v>
      </c>
      <c r="J214" s="679">
        <v>18550</v>
      </c>
      <c r="K214" s="679">
        <v>19650</v>
      </c>
      <c r="L214" s="544">
        <v>19900</v>
      </c>
      <c r="M214" s="544">
        <v>21300</v>
      </c>
      <c r="N214" s="544">
        <v>23450</v>
      </c>
      <c r="O214" s="544">
        <v>23450</v>
      </c>
      <c r="P214" s="544">
        <v>24250</v>
      </c>
      <c r="Q214" s="544">
        <v>24850</v>
      </c>
      <c r="R214" s="544">
        <v>25150</v>
      </c>
      <c r="S214" s="544">
        <v>26100</v>
      </c>
      <c r="T214" s="544">
        <v>26100</v>
      </c>
      <c r="U214" s="544">
        <v>26100</v>
      </c>
      <c r="V214" s="680">
        <v>27500</v>
      </c>
      <c r="W214" s="681">
        <v>27450</v>
      </c>
      <c r="X214" s="682">
        <v>28100</v>
      </c>
      <c r="Y214" s="682">
        <v>28500</v>
      </c>
      <c r="Z214" s="682">
        <v>28500</v>
      </c>
      <c r="AA214" s="682">
        <v>29900</v>
      </c>
      <c r="AB214" s="682">
        <v>30500</v>
      </c>
      <c r="AC214" s="683">
        <v>30250</v>
      </c>
      <c r="AD214" s="683">
        <v>31300</v>
      </c>
      <c r="AE214" s="683">
        <v>34000</v>
      </c>
      <c r="AF214" s="683">
        <v>35000</v>
      </c>
      <c r="AG214" s="691">
        <v>35800</v>
      </c>
      <c r="AH214" s="691"/>
    </row>
    <row r="215" spans="2:34" ht="15" x14ac:dyDescent="0.25">
      <c r="B215" s="684" t="s">
        <v>416</v>
      </c>
      <c r="C215" s="679">
        <v>13700</v>
      </c>
      <c r="D215" s="679">
        <v>14600</v>
      </c>
      <c r="E215" s="679">
        <v>14950</v>
      </c>
      <c r="F215" s="679">
        <v>15900</v>
      </c>
      <c r="G215" s="679">
        <v>16300</v>
      </c>
      <c r="H215" s="679">
        <v>16300</v>
      </c>
      <c r="I215" s="679">
        <v>17550</v>
      </c>
      <c r="J215" s="679">
        <v>18550</v>
      </c>
      <c r="K215" s="679">
        <v>19650</v>
      </c>
      <c r="L215" s="544">
        <v>19900</v>
      </c>
      <c r="M215" s="544">
        <v>21300</v>
      </c>
      <c r="N215" s="544">
        <v>22500</v>
      </c>
      <c r="O215" s="544">
        <v>22900</v>
      </c>
      <c r="P215" s="544">
        <v>24150</v>
      </c>
      <c r="Q215" s="544">
        <v>24850</v>
      </c>
      <c r="R215" s="544">
        <v>25100</v>
      </c>
      <c r="S215" s="544">
        <v>25700</v>
      </c>
      <c r="T215" s="544">
        <v>25700</v>
      </c>
      <c r="U215" s="544">
        <v>25900</v>
      </c>
      <c r="V215" s="680">
        <v>26850</v>
      </c>
      <c r="W215" s="681">
        <v>27100</v>
      </c>
      <c r="X215" s="682">
        <v>28100</v>
      </c>
      <c r="Y215" s="682">
        <v>28500</v>
      </c>
      <c r="Z215" s="682">
        <v>28500</v>
      </c>
      <c r="AA215" s="682">
        <v>29900</v>
      </c>
      <c r="AB215" s="682">
        <v>30500</v>
      </c>
      <c r="AC215" s="683">
        <v>30250</v>
      </c>
      <c r="AD215" s="683">
        <v>31300</v>
      </c>
      <c r="AE215" s="683">
        <v>34000</v>
      </c>
      <c r="AF215" s="683">
        <v>35000</v>
      </c>
      <c r="AG215" s="691">
        <v>35800</v>
      </c>
      <c r="AH215" s="691"/>
    </row>
    <row r="216" spans="2:34" ht="15" x14ac:dyDescent="0.25">
      <c r="B216" s="684" t="s">
        <v>417</v>
      </c>
      <c r="C216" s="679">
        <v>13700</v>
      </c>
      <c r="D216" s="679">
        <v>14600</v>
      </c>
      <c r="E216" s="679">
        <v>14950</v>
      </c>
      <c r="F216" s="679">
        <v>15900</v>
      </c>
      <c r="G216" s="679">
        <v>16300</v>
      </c>
      <c r="H216" s="679">
        <v>16300</v>
      </c>
      <c r="I216" s="679">
        <v>17550</v>
      </c>
      <c r="J216" s="679">
        <v>18550</v>
      </c>
      <c r="K216" s="679">
        <v>19650</v>
      </c>
      <c r="L216" s="544">
        <v>19900</v>
      </c>
      <c r="M216" s="544">
        <v>21300</v>
      </c>
      <c r="N216" s="544">
        <v>22500</v>
      </c>
      <c r="O216" s="544">
        <v>22900</v>
      </c>
      <c r="P216" s="544">
        <v>24600</v>
      </c>
      <c r="Q216" s="544">
        <v>24850</v>
      </c>
      <c r="R216" s="544">
        <v>25100</v>
      </c>
      <c r="S216" s="544">
        <v>27850</v>
      </c>
      <c r="T216" s="544">
        <v>27850</v>
      </c>
      <c r="U216" s="544">
        <v>27850</v>
      </c>
      <c r="V216" s="680">
        <v>29400</v>
      </c>
      <c r="W216" s="681">
        <v>29200</v>
      </c>
      <c r="X216" s="682">
        <v>29400</v>
      </c>
      <c r="Y216" s="682">
        <v>29800</v>
      </c>
      <c r="Z216" s="682">
        <v>29900</v>
      </c>
      <c r="AA216" s="682">
        <v>29800</v>
      </c>
      <c r="AB216" s="682">
        <v>30900</v>
      </c>
      <c r="AC216" s="683">
        <v>31650</v>
      </c>
      <c r="AD216" s="683">
        <v>31950</v>
      </c>
      <c r="AE216" s="683">
        <v>33900</v>
      </c>
      <c r="AF216" s="683">
        <v>34750</v>
      </c>
      <c r="AG216" s="691">
        <v>37500</v>
      </c>
      <c r="AH216" s="691"/>
    </row>
    <row r="217" spans="2:34" ht="15" x14ac:dyDescent="0.25">
      <c r="B217" s="684" t="s">
        <v>418</v>
      </c>
      <c r="C217" s="679">
        <v>15300</v>
      </c>
      <c r="D217" s="679">
        <v>16600</v>
      </c>
      <c r="E217" s="679">
        <v>16600</v>
      </c>
      <c r="F217" s="679">
        <v>17450</v>
      </c>
      <c r="G217" s="679">
        <v>18000</v>
      </c>
      <c r="H217" s="679">
        <v>18000</v>
      </c>
      <c r="I217" s="679">
        <v>18200</v>
      </c>
      <c r="J217" s="679">
        <v>18600</v>
      </c>
      <c r="K217" s="679">
        <v>19650</v>
      </c>
      <c r="L217" s="544">
        <v>19900</v>
      </c>
      <c r="M217" s="544">
        <v>21300</v>
      </c>
      <c r="N217" s="544">
        <v>24650</v>
      </c>
      <c r="O217" s="544">
        <v>25650</v>
      </c>
      <c r="P217" s="544">
        <v>25700</v>
      </c>
      <c r="Q217" s="544">
        <v>26650</v>
      </c>
      <c r="R217" s="544">
        <v>26800</v>
      </c>
      <c r="S217" s="544">
        <v>27700</v>
      </c>
      <c r="T217" s="544">
        <v>27700</v>
      </c>
      <c r="U217" s="544">
        <v>27750</v>
      </c>
      <c r="V217" s="680">
        <v>28450</v>
      </c>
      <c r="W217" s="681">
        <v>28400</v>
      </c>
      <c r="X217" s="682">
        <v>29050</v>
      </c>
      <c r="Y217" s="682">
        <v>29450</v>
      </c>
      <c r="Z217" s="682">
        <v>28500</v>
      </c>
      <c r="AA217" s="682">
        <v>29900</v>
      </c>
      <c r="AB217" s="682">
        <v>30500</v>
      </c>
      <c r="AC217" s="683">
        <v>30250</v>
      </c>
      <c r="AD217" s="683">
        <v>31300</v>
      </c>
      <c r="AE217" s="683">
        <v>34000</v>
      </c>
      <c r="AF217" s="683">
        <v>35000</v>
      </c>
      <c r="AG217" s="691">
        <v>35800</v>
      </c>
      <c r="AH217" s="691"/>
    </row>
    <row r="218" spans="2:34" ht="15" x14ac:dyDescent="0.25">
      <c r="B218" s="684" t="s">
        <v>419</v>
      </c>
      <c r="C218" s="679">
        <v>18600</v>
      </c>
      <c r="D218" s="679">
        <v>19400</v>
      </c>
      <c r="E218" s="679">
        <v>19950</v>
      </c>
      <c r="F218" s="679">
        <v>20750</v>
      </c>
      <c r="G218" s="679">
        <v>21350</v>
      </c>
      <c r="H218" s="679">
        <v>21450</v>
      </c>
      <c r="I218" s="679">
        <v>22950</v>
      </c>
      <c r="J218" s="679">
        <v>23750</v>
      </c>
      <c r="K218" s="679">
        <v>24150</v>
      </c>
      <c r="L218" s="544">
        <v>26800</v>
      </c>
      <c r="M218" s="544">
        <v>28100</v>
      </c>
      <c r="N218" s="544">
        <v>31200</v>
      </c>
      <c r="O218" s="544">
        <v>32200</v>
      </c>
      <c r="P218" s="544">
        <v>32200</v>
      </c>
      <c r="Q218" s="544">
        <v>32200</v>
      </c>
      <c r="R218" s="544">
        <v>32650</v>
      </c>
      <c r="S218" s="544">
        <v>33250</v>
      </c>
      <c r="T218" s="544">
        <v>33250</v>
      </c>
      <c r="U218" s="544">
        <v>33550</v>
      </c>
      <c r="V218" s="680">
        <v>34950</v>
      </c>
      <c r="W218" s="681">
        <v>35150</v>
      </c>
      <c r="X218" s="682">
        <v>35300</v>
      </c>
      <c r="Y218" s="682">
        <v>35750</v>
      </c>
      <c r="Z218" s="682">
        <v>36350</v>
      </c>
      <c r="AA218" s="682">
        <v>36500</v>
      </c>
      <c r="AB218" s="682">
        <v>36400</v>
      </c>
      <c r="AC218" s="683">
        <v>36050</v>
      </c>
      <c r="AD218" s="683">
        <v>37500</v>
      </c>
      <c r="AE218" s="683">
        <v>40800</v>
      </c>
      <c r="AF218" s="683">
        <v>43000</v>
      </c>
      <c r="AG218" s="691">
        <v>43500</v>
      </c>
      <c r="AH218" s="691"/>
    </row>
    <row r="219" spans="2:34" ht="15" x14ac:dyDescent="0.25">
      <c r="B219" s="684" t="s">
        <v>420</v>
      </c>
      <c r="C219" s="679">
        <v>13700</v>
      </c>
      <c r="D219" s="679">
        <v>14600</v>
      </c>
      <c r="E219" s="679">
        <v>14950</v>
      </c>
      <c r="F219" s="679">
        <v>15900</v>
      </c>
      <c r="G219" s="679">
        <v>16300</v>
      </c>
      <c r="H219" s="679">
        <v>16300</v>
      </c>
      <c r="I219" s="679">
        <v>17550</v>
      </c>
      <c r="J219" s="679">
        <v>18550</v>
      </c>
      <c r="K219" s="679">
        <v>19650</v>
      </c>
      <c r="L219" s="544">
        <v>19900</v>
      </c>
      <c r="M219" s="544">
        <v>21300</v>
      </c>
      <c r="N219" s="544">
        <v>22500</v>
      </c>
      <c r="O219" s="544">
        <v>22900</v>
      </c>
      <c r="P219" s="544">
        <v>24150</v>
      </c>
      <c r="Q219" s="544">
        <v>24850</v>
      </c>
      <c r="R219" s="544">
        <v>25100</v>
      </c>
      <c r="S219" s="544">
        <v>25700</v>
      </c>
      <c r="T219" s="544">
        <v>25700</v>
      </c>
      <c r="U219" s="544">
        <v>25900</v>
      </c>
      <c r="V219" s="680">
        <v>26850</v>
      </c>
      <c r="W219" s="681">
        <v>27100</v>
      </c>
      <c r="X219" s="682">
        <v>28350</v>
      </c>
      <c r="Y219" s="682">
        <v>28750</v>
      </c>
      <c r="Z219" s="682">
        <v>28500</v>
      </c>
      <c r="AA219" s="682">
        <v>29900</v>
      </c>
      <c r="AB219" s="682">
        <v>30500</v>
      </c>
      <c r="AC219" s="683">
        <v>30250</v>
      </c>
      <c r="AD219" s="683">
        <v>31300</v>
      </c>
      <c r="AE219" s="683">
        <v>34000</v>
      </c>
      <c r="AF219" s="683">
        <v>35000</v>
      </c>
      <c r="AG219" s="691">
        <v>35800</v>
      </c>
      <c r="AH219" s="691"/>
    </row>
    <row r="220" spans="2:34" ht="15" x14ac:dyDescent="0.25">
      <c r="B220" s="684" t="s">
        <v>421</v>
      </c>
      <c r="C220" s="679">
        <v>13700</v>
      </c>
      <c r="D220" s="679">
        <v>14600</v>
      </c>
      <c r="E220" s="679">
        <v>14950</v>
      </c>
      <c r="F220" s="679">
        <v>16300</v>
      </c>
      <c r="G220" s="679">
        <v>16300</v>
      </c>
      <c r="H220" s="679">
        <v>16650</v>
      </c>
      <c r="I220" s="679">
        <v>17650</v>
      </c>
      <c r="J220" s="679">
        <v>18550</v>
      </c>
      <c r="K220" s="679">
        <v>19650</v>
      </c>
      <c r="L220" s="544">
        <v>19900</v>
      </c>
      <c r="M220" s="544">
        <v>21300</v>
      </c>
      <c r="N220" s="544">
        <v>22900</v>
      </c>
      <c r="O220" s="544">
        <v>22900</v>
      </c>
      <c r="P220" s="544">
        <v>24600</v>
      </c>
      <c r="Q220" s="544">
        <v>24950</v>
      </c>
      <c r="R220" s="544">
        <v>25250</v>
      </c>
      <c r="S220" s="544">
        <v>26000</v>
      </c>
      <c r="T220" s="544">
        <v>26000</v>
      </c>
      <c r="U220" s="544">
        <v>26250</v>
      </c>
      <c r="V220" s="680">
        <v>26950</v>
      </c>
      <c r="W220" s="681">
        <v>27200</v>
      </c>
      <c r="X220" s="682">
        <v>28100</v>
      </c>
      <c r="Y220" s="682">
        <v>28500</v>
      </c>
      <c r="Z220" s="682">
        <v>28900</v>
      </c>
      <c r="AA220" s="682">
        <v>30300</v>
      </c>
      <c r="AB220" s="682">
        <v>32100</v>
      </c>
      <c r="AC220" s="683">
        <v>31250</v>
      </c>
      <c r="AD220" s="683">
        <v>32200</v>
      </c>
      <c r="AE220" s="683">
        <v>34000</v>
      </c>
      <c r="AF220" s="683">
        <v>35000</v>
      </c>
      <c r="AG220" s="691">
        <v>36300</v>
      </c>
      <c r="AH220" s="691"/>
    </row>
    <row r="221" spans="2:34" ht="15" x14ac:dyDescent="0.25">
      <c r="B221" s="684" t="s">
        <v>422</v>
      </c>
      <c r="C221" s="679">
        <v>13700</v>
      </c>
      <c r="D221" s="679">
        <v>14600</v>
      </c>
      <c r="E221" s="679">
        <v>14950</v>
      </c>
      <c r="F221" s="679">
        <v>15900</v>
      </c>
      <c r="G221" s="679">
        <v>16300</v>
      </c>
      <c r="H221" s="679">
        <v>16300</v>
      </c>
      <c r="I221" s="679">
        <v>17550</v>
      </c>
      <c r="J221" s="679">
        <v>18550</v>
      </c>
      <c r="K221" s="679">
        <v>19650</v>
      </c>
      <c r="L221" s="544">
        <v>19900</v>
      </c>
      <c r="M221" s="544">
        <v>21300</v>
      </c>
      <c r="N221" s="544">
        <v>22500</v>
      </c>
      <c r="O221" s="544">
        <v>22900</v>
      </c>
      <c r="P221" s="544">
        <v>24150</v>
      </c>
      <c r="Q221" s="544">
        <v>24850</v>
      </c>
      <c r="R221" s="544">
        <v>25100</v>
      </c>
      <c r="S221" s="544">
        <v>25700</v>
      </c>
      <c r="T221" s="544">
        <v>25700</v>
      </c>
      <c r="U221" s="544">
        <v>25900</v>
      </c>
      <c r="V221" s="680">
        <v>26850</v>
      </c>
      <c r="W221" s="681">
        <v>27100</v>
      </c>
      <c r="X221" s="682">
        <v>28100</v>
      </c>
      <c r="Y221" s="682">
        <v>28500</v>
      </c>
      <c r="Z221" s="682">
        <v>28500</v>
      </c>
      <c r="AA221" s="682">
        <v>29900</v>
      </c>
      <c r="AB221" s="682">
        <v>30500</v>
      </c>
      <c r="AC221" s="683">
        <v>30250</v>
      </c>
      <c r="AD221" s="683">
        <v>31300</v>
      </c>
      <c r="AE221" s="683">
        <v>34000</v>
      </c>
      <c r="AF221" s="683">
        <v>35000</v>
      </c>
      <c r="AG221" s="691">
        <v>35800</v>
      </c>
      <c r="AH221" s="691"/>
    </row>
    <row r="222" spans="2:34" ht="15" x14ac:dyDescent="0.25">
      <c r="B222" s="684" t="s">
        <v>423</v>
      </c>
      <c r="C222" s="679">
        <v>13700</v>
      </c>
      <c r="D222" s="679">
        <v>14600</v>
      </c>
      <c r="E222" s="679">
        <v>14950</v>
      </c>
      <c r="F222" s="679">
        <v>15900</v>
      </c>
      <c r="G222" s="679">
        <v>16300</v>
      </c>
      <c r="H222" s="679">
        <v>16300</v>
      </c>
      <c r="I222" s="679">
        <v>17550</v>
      </c>
      <c r="J222" s="679">
        <v>18550</v>
      </c>
      <c r="K222" s="679">
        <v>19650</v>
      </c>
      <c r="L222" s="544">
        <v>19900</v>
      </c>
      <c r="M222" s="544">
        <v>21300</v>
      </c>
      <c r="N222" s="544">
        <v>22500</v>
      </c>
      <c r="O222" s="544">
        <v>22900</v>
      </c>
      <c r="P222" s="544">
        <v>24150</v>
      </c>
      <c r="Q222" s="544">
        <v>24850</v>
      </c>
      <c r="R222" s="544">
        <v>25100</v>
      </c>
      <c r="S222" s="544">
        <v>25700</v>
      </c>
      <c r="T222" s="544">
        <v>25700</v>
      </c>
      <c r="U222" s="544">
        <v>25900</v>
      </c>
      <c r="V222" s="680">
        <v>26850</v>
      </c>
      <c r="W222" s="681">
        <v>27100</v>
      </c>
      <c r="X222" s="682">
        <v>28100</v>
      </c>
      <c r="Y222" s="682">
        <v>28500</v>
      </c>
      <c r="Z222" s="682">
        <v>28500</v>
      </c>
      <c r="AA222" s="682">
        <v>29900</v>
      </c>
      <c r="AB222" s="682">
        <v>30900</v>
      </c>
      <c r="AC222" s="683">
        <v>30250</v>
      </c>
      <c r="AD222" s="683">
        <v>31300</v>
      </c>
      <c r="AE222" s="683">
        <v>34000</v>
      </c>
      <c r="AF222" s="683">
        <v>35000</v>
      </c>
      <c r="AG222" s="691">
        <v>35800</v>
      </c>
      <c r="AH222" s="691"/>
    </row>
    <row r="223" spans="2:34" ht="15" x14ac:dyDescent="0.25">
      <c r="B223" s="684" t="s">
        <v>424</v>
      </c>
      <c r="C223" s="679">
        <v>13700</v>
      </c>
      <c r="D223" s="679">
        <v>14600</v>
      </c>
      <c r="E223" s="679">
        <v>14950</v>
      </c>
      <c r="F223" s="679">
        <v>15900</v>
      </c>
      <c r="G223" s="679">
        <v>16300</v>
      </c>
      <c r="H223" s="679">
        <v>16300</v>
      </c>
      <c r="I223" s="679">
        <v>17550</v>
      </c>
      <c r="J223" s="679">
        <v>18550</v>
      </c>
      <c r="K223" s="679">
        <v>19650</v>
      </c>
      <c r="L223" s="544">
        <v>19900</v>
      </c>
      <c r="M223" s="544">
        <v>21300</v>
      </c>
      <c r="N223" s="544">
        <v>22500</v>
      </c>
      <c r="O223" s="544">
        <v>22900</v>
      </c>
      <c r="P223" s="544">
        <v>24150</v>
      </c>
      <c r="Q223" s="544">
        <v>24850</v>
      </c>
      <c r="R223" s="544">
        <v>25100</v>
      </c>
      <c r="S223" s="544">
        <v>25700</v>
      </c>
      <c r="T223" s="544">
        <v>25700</v>
      </c>
      <c r="U223" s="544">
        <v>25900</v>
      </c>
      <c r="V223" s="680">
        <v>26850</v>
      </c>
      <c r="W223" s="681">
        <v>27100</v>
      </c>
      <c r="X223" s="682">
        <v>28100</v>
      </c>
      <c r="Y223" s="682">
        <v>28500</v>
      </c>
      <c r="Z223" s="682">
        <v>28500</v>
      </c>
      <c r="AA223" s="682">
        <v>29900</v>
      </c>
      <c r="AB223" s="682">
        <v>30500</v>
      </c>
      <c r="AC223" s="683">
        <v>30250</v>
      </c>
      <c r="AD223" s="683">
        <v>31300</v>
      </c>
      <c r="AE223" s="683">
        <v>34000</v>
      </c>
      <c r="AF223" s="683">
        <v>35000</v>
      </c>
      <c r="AG223" s="691">
        <v>35800</v>
      </c>
      <c r="AH223" s="691"/>
    </row>
    <row r="224" spans="2:34" ht="15" x14ac:dyDescent="0.25">
      <c r="B224" s="684" t="s">
        <v>425</v>
      </c>
      <c r="C224" s="679">
        <v>13850</v>
      </c>
      <c r="D224" s="679">
        <v>14600</v>
      </c>
      <c r="E224" s="679">
        <v>14950</v>
      </c>
      <c r="F224" s="679">
        <v>16100</v>
      </c>
      <c r="G224" s="679">
        <v>16300</v>
      </c>
      <c r="H224" s="679">
        <v>16300</v>
      </c>
      <c r="I224" s="679">
        <v>17800</v>
      </c>
      <c r="J224" s="679">
        <v>18550</v>
      </c>
      <c r="K224" s="679">
        <v>19650</v>
      </c>
      <c r="L224" s="544">
        <v>19900</v>
      </c>
      <c r="M224" s="544">
        <v>21300</v>
      </c>
      <c r="N224" s="544">
        <v>22500</v>
      </c>
      <c r="O224" s="544">
        <v>23200</v>
      </c>
      <c r="P224" s="544">
        <v>24550</v>
      </c>
      <c r="Q224" s="544">
        <v>25750</v>
      </c>
      <c r="R224" s="544">
        <v>25750</v>
      </c>
      <c r="S224" s="544">
        <v>26700</v>
      </c>
      <c r="T224" s="544">
        <v>26700</v>
      </c>
      <c r="U224" s="544">
        <v>26700</v>
      </c>
      <c r="V224" s="680">
        <v>27800</v>
      </c>
      <c r="W224" s="681">
        <v>27850</v>
      </c>
      <c r="X224" s="682">
        <v>28450</v>
      </c>
      <c r="Y224" s="682">
        <v>28850</v>
      </c>
      <c r="Z224" s="682">
        <v>28700</v>
      </c>
      <c r="AA224" s="682">
        <v>30000</v>
      </c>
      <c r="AB224" s="682">
        <v>30900</v>
      </c>
      <c r="AC224" s="683">
        <v>31550</v>
      </c>
      <c r="AD224" s="683">
        <v>31750</v>
      </c>
      <c r="AE224" s="683">
        <v>34000</v>
      </c>
      <c r="AF224" s="683">
        <v>35000</v>
      </c>
      <c r="AG224" s="691">
        <v>35800</v>
      </c>
      <c r="AH224" s="691"/>
    </row>
    <row r="225" spans="2:34" ht="15" x14ac:dyDescent="0.25">
      <c r="B225" s="684" t="s">
        <v>426</v>
      </c>
      <c r="C225" s="679">
        <v>13700</v>
      </c>
      <c r="D225" s="679">
        <v>14600</v>
      </c>
      <c r="E225" s="679">
        <v>14950</v>
      </c>
      <c r="F225" s="679">
        <v>15900</v>
      </c>
      <c r="G225" s="679">
        <v>16300</v>
      </c>
      <c r="H225" s="679">
        <v>16300</v>
      </c>
      <c r="I225" s="679">
        <v>17550</v>
      </c>
      <c r="J225" s="679">
        <v>18550</v>
      </c>
      <c r="K225" s="679">
        <v>19650</v>
      </c>
      <c r="L225" s="544">
        <v>19900</v>
      </c>
      <c r="M225" s="544">
        <v>21300</v>
      </c>
      <c r="N225" s="544">
        <v>22500</v>
      </c>
      <c r="O225" s="544">
        <v>22900</v>
      </c>
      <c r="P225" s="544">
        <v>24150</v>
      </c>
      <c r="Q225" s="544">
        <v>24850</v>
      </c>
      <c r="R225" s="544">
        <v>25100</v>
      </c>
      <c r="S225" s="544">
        <v>25700</v>
      </c>
      <c r="T225" s="544">
        <v>25700</v>
      </c>
      <c r="U225" s="544">
        <v>25900</v>
      </c>
      <c r="V225" s="680">
        <v>26850</v>
      </c>
      <c r="W225" s="681">
        <v>27100</v>
      </c>
      <c r="X225" s="682">
        <v>28100</v>
      </c>
      <c r="Y225" s="682">
        <v>28500</v>
      </c>
      <c r="Z225" s="682">
        <v>28500</v>
      </c>
      <c r="AA225" s="682">
        <v>29900</v>
      </c>
      <c r="AB225" s="682">
        <v>30500</v>
      </c>
      <c r="AC225" s="683">
        <v>30250</v>
      </c>
      <c r="AD225" s="683">
        <v>31300</v>
      </c>
      <c r="AE225" s="683">
        <v>34850</v>
      </c>
      <c r="AF225" s="683">
        <v>37200</v>
      </c>
      <c r="AG225" s="691">
        <v>36100</v>
      </c>
      <c r="AH225" s="691"/>
    </row>
    <row r="226" spans="2:34" ht="15" x14ac:dyDescent="0.25">
      <c r="B226" s="684" t="s">
        <v>427</v>
      </c>
      <c r="C226" s="679">
        <v>13700</v>
      </c>
      <c r="D226" s="679">
        <v>14600</v>
      </c>
      <c r="E226" s="679">
        <v>14950</v>
      </c>
      <c r="F226" s="679">
        <v>15900</v>
      </c>
      <c r="G226" s="679">
        <v>16300</v>
      </c>
      <c r="H226" s="679">
        <v>16300</v>
      </c>
      <c r="I226" s="679">
        <v>17550</v>
      </c>
      <c r="J226" s="679">
        <v>18550</v>
      </c>
      <c r="K226" s="679">
        <v>19650</v>
      </c>
      <c r="L226" s="544">
        <v>19900</v>
      </c>
      <c r="M226" s="544">
        <v>21300</v>
      </c>
      <c r="N226" s="544">
        <v>22500</v>
      </c>
      <c r="O226" s="544">
        <v>22900</v>
      </c>
      <c r="P226" s="544">
        <v>24150</v>
      </c>
      <c r="Q226" s="544">
        <v>24850</v>
      </c>
      <c r="R226" s="544">
        <v>25100</v>
      </c>
      <c r="S226" s="544">
        <v>25700</v>
      </c>
      <c r="T226" s="544">
        <v>25700</v>
      </c>
      <c r="U226" s="544">
        <v>25900</v>
      </c>
      <c r="V226" s="680">
        <v>26850</v>
      </c>
      <c r="W226" s="681">
        <v>27100</v>
      </c>
      <c r="X226" s="682">
        <v>28100</v>
      </c>
      <c r="Y226" s="682">
        <v>28500</v>
      </c>
      <c r="Z226" s="682">
        <v>28500</v>
      </c>
      <c r="AA226" s="682">
        <v>29900</v>
      </c>
      <c r="AB226" s="682">
        <v>30500</v>
      </c>
      <c r="AC226" s="683">
        <v>30250</v>
      </c>
      <c r="AD226" s="683">
        <v>31300</v>
      </c>
      <c r="AE226" s="683">
        <v>34000</v>
      </c>
      <c r="AF226" s="683">
        <v>35000</v>
      </c>
      <c r="AG226" s="691">
        <v>35800</v>
      </c>
      <c r="AH226" s="691"/>
    </row>
    <row r="227" spans="2:34" ht="15" x14ac:dyDescent="0.25">
      <c r="B227" s="684" t="s">
        <v>428</v>
      </c>
      <c r="C227" s="679">
        <v>13700</v>
      </c>
      <c r="D227" s="679">
        <v>14600</v>
      </c>
      <c r="E227" s="679">
        <v>14950</v>
      </c>
      <c r="F227" s="679">
        <v>16750</v>
      </c>
      <c r="G227" s="679">
        <v>16500</v>
      </c>
      <c r="H227" s="679">
        <v>16750</v>
      </c>
      <c r="I227" s="679">
        <v>17550</v>
      </c>
      <c r="J227" s="679">
        <v>18550</v>
      </c>
      <c r="K227" s="679">
        <v>19650</v>
      </c>
      <c r="L227" s="544">
        <v>19900</v>
      </c>
      <c r="M227" s="544">
        <v>21300</v>
      </c>
      <c r="N227" s="544">
        <v>22500</v>
      </c>
      <c r="O227" s="544">
        <v>22900</v>
      </c>
      <c r="P227" s="544">
        <v>24750</v>
      </c>
      <c r="Q227" s="544">
        <v>26900</v>
      </c>
      <c r="R227" s="544">
        <v>26900</v>
      </c>
      <c r="S227" s="544">
        <v>26900</v>
      </c>
      <c r="T227" s="544">
        <v>26900</v>
      </c>
      <c r="U227" s="544">
        <v>26900</v>
      </c>
      <c r="V227" s="680">
        <v>27550</v>
      </c>
      <c r="W227" s="681">
        <v>27800</v>
      </c>
      <c r="X227" s="682">
        <v>28100</v>
      </c>
      <c r="Y227" s="682">
        <v>28500</v>
      </c>
      <c r="Z227" s="682">
        <v>28500</v>
      </c>
      <c r="AA227" s="682">
        <v>29900</v>
      </c>
      <c r="AB227" s="682">
        <v>30500</v>
      </c>
      <c r="AC227" s="683">
        <v>30250</v>
      </c>
      <c r="AD227" s="683">
        <v>32150</v>
      </c>
      <c r="AE227" s="683">
        <v>34000</v>
      </c>
      <c r="AF227" s="683">
        <v>37400</v>
      </c>
      <c r="AG227" s="691">
        <v>40350</v>
      </c>
      <c r="AH227" s="691"/>
    </row>
    <row r="228" spans="2:34" ht="15" x14ac:dyDescent="0.25">
      <c r="B228" s="684" t="s">
        <v>429</v>
      </c>
      <c r="C228" s="679">
        <v>13700</v>
      </c>
      <c r="D228" s="679">
        <v>14600</v>
      </c>
      <c r="E228" s="679">
        <v>14950</v>
      </c>
      <c r="F228" s="679">
        <v>15900</v>
      </c>
      <c r="G228" s="679">
        <v>16300</v>
      </c>
      <c r="H228" s="679">
        <v>16300</v>
      </c>
      <c r="I228" s="679">
        <v>17550</v>
      </c>
      <c r="J228" s="679">
        <v>18550</v>
      </c>
      <c r="K228" s="679">
        <v>19650</v>
      </c>
      <c r="L228" s="544">
        <v>19900</v>
      </c>
      <c r="M228" s="544">
        <v>21300</v>
      </c>
      <c r="N228" s="544">
        <v>22500</v>
      </c>
      <c r="O228" s="544">
        <v>22900</v>
      </c>
      <c r="P228" s="544">
        <v>24150</v>
      </c>
      <c r="Q228" s="544">
        <v>24850</v>
      </c>
      <c r="R228" s="544">
        <v>25100</v>
      </c>
      <c r="S228" s="544">
        <v>25700</v>
      </c>
      <c r="T228" s="544">
        <v>25700</v>
      </c>
      <c r="U228" s="544">
        <v>25900</v>
      </c>
      <c r="V228" s="680">
        <v>26850</v>
      </c>
      <c r="W228" s="681">
        <v>27100</v>
      </c>
      <c r="X228" s="682">
        <v>28100</v>
      </c>
      <c r="Y228" s="682">
        <v>28500</v>
      </c>
      <c r="Z228" s="682">
        <v>28500</v>
      </c>
      <c r="AA228" s="682">
        <v>29900</v>
      </c>
      <c r="AB228" s="682">
        <v>30500</v>
      </c>
      <c r="AC228" s="683">
        <v>30250</v>
      </c>
      <c r="AD228" s="683">
        <v>31300</v>
      </c>
      <c r="AE228" s="683">
        <v>34000</v>
      </c>
      <c r="AF228" s="683">
        <v>35000</v>
      </c>
      <c r="AG228" s="691">
        <v>35800</v>
      </c>
      <c r="AH228" s="691"/>
    </row>
    <row r="229" spans="2:34" ht="15" x14ac:dyDescent="0.25">
      <c r="B229" s="684" t="s">
        <v>430</v>
      </c>
      <c r="C229" s="679">
        <v>13700</v>
      </c>
      <c r="D229" s="679">
        <v>14600</v>
      </c>
      <c r="E229" s="679">
        <v>14950</v>
      </c>
      <c r="F229" s="679">
        <v>15900</v>
      </c>
      <c r="G229" s="679">
        <v>16300</v>
      </c>
      <c r="H229" s="679">
        <v>16300</v>
      </c>
      <c r="I229" s="679">
        <v>17550</v>
      </c>
      <c r="J229" s="679">
        <v>18550</v>
      </c>
      <c r="K229" s="679">
        <v>19650</v>
      </c>
      <c r="L229" s="544">
        <v>19900</v>
      </c>
      <c r="M229" s="544">
        <v>21300</v>
      </c>
      <c r="N229" s="544">
        <v>22500</v>
      </c>
      <c r="O229" s="544">
        <v>22900</v>
      </c>
      <c r="P229" s="544">
        <v>24150</v>
      </c>
      <c r="Q229" s="544">
        <v>24850</v>
      </c>
      <c r="R229" s="544">
        <v>25100</v>
      </c>
      <c r="S229" s="544">
        <v>25700</v>
      </c>
      <c r="T229" s="544">
        <v>25700</v>
      </c>
      <c r="U229" s="544">
        <v>25900</v>
      </c>
      <c r="V229" s="680">
        <v>26850</v>
      </c>
      <c r="W229" s="681">
        <v>27100</v>
      </c>
      <c r="X229" s="682">
        <v>28100</v>
      </c>
      <c r="Y229" s="682">
        <v>28500</v>
      </c>
      <c r="Z229" s="682">
        <v>28500</v>
      </c>
      <c r="AA229" s="682">
        <v>29900</v>
      </c>
      <c r="AB229" s="682">
        <v>30500</v>
      </c>
      <c r="AC229" s="683">
        <v>30250</v>
      </c>
      <c r="AD229" s="683">
        <v>31300</v>
      </c>
      <c r="AE229" s="683">
        <v>34000</v>
      </c>
      <c r="AF229" s="683">
        <v>35000</v>
      </c>
      <c r="AG229" s="691">
        <v>35800</v>
      </c>
      <c r="AH229" s="691"/>
    </row>
    <row r="230" spans="2:34" ht="15" x14ac:dyDescent="0.25">
      <c r="B230" s="684" t="s">
        <v>431</v>
      </c>
      <c r="C230" s="679">
        <v>16400</v>
      </c>
      <c r="D230" s="679">
        <v>17350</v>
      </c>
      <c r="E230" s="679">
        <v>18200</v>
      </c>
      <c r="F230" s="679">
        <v>17650</v>
      </c>
      <c r="G230" s="679">
        <v>18450</v>
      </c>
      <c r="H230" s="679">
        <v>18450</v>
      </c>
      <c r="I230" s="679">
        <v>18850</v>
      </c>
      <c r="J230" s="679">
        <v>19250</v>
      </c>
      <c r="K230" s="679">
        <v>22300</v>
      </c>
      <c r="L230" s="544">
        <v>22650</v>
      </c>
      <c r="M230" s="544">
        <v>24050</v>
      </c>
      <c r="N230" s="544">
        <v>25250</v>
      </c>
      <c r="O230" s="544">
        <v>25250</v>
      </c>
      <c r="P230" s="544">
        <v>25250</v>
      </c>
      <c r="Q230" s="544">
        <v>26150</v>
      </c>
      <c r="R230" s="544">
        <v>26400</v>
      </c>
      <c r="S230" s="544">
        <v>27250</v>
      </c>
      <c r="T230" s="544">
        <v>27250</v>
      </c>
      <c r="U230" s="544">
        <v>27350</v>
      </c>
      <c r="V230" s="680">
        <v>27600</v>
      </c>
      <c r="W230" s="681">
        <v>27650</v>
      </c>
      <c r="X230" s="682">
        <v>28200</v>
      </c>
      <c r="Y230" s="682">
        <v>28550</v>
      </c>
      <c r="Z230" s="682">
        <v>28950</v>
      </c>
      <c r="AA230" s="682">
        <v>30000</v>
      </c>
      <c r="AB230" s="682">
        <v>30500</v>
      </c>
      <c r="AC230" s="683">
        <v>30250</v>
      </c>
      <c r="AD230" s="683">
        <v>31300</v>
      </c>
      <c r="AE230" s="683">
        <v>34000</v>
      </c>
      <c r="AF230" s="683">
        <v>35000</v>
      </c>
      <c r="AG230" s="691">
        <v>35800</v>
      </c>
      <c r="AH230" s="691"/>
    </row>
    <row r="231" spans="2:34" ht="15" x14ac:dyDescent="0.25">
      <c r="B231" s="684" t="s">
        <v>432</v>
      </c>
      <c r="C231" s="679">
        <v>14950</v>
      </c>
      <c r="D231" s="679">
        <v>15800</v>
      </c>
      <c r="E231" s="679">
        <v>16600</v>
      </c>
      <c r="F231" s="679">
        <v>16550</v>
      </c>
      <c r="G231" s="679">
        <v>16300</v>
      </c>
      <c r="H231" s="679">
        <v>16300</v>
      </c>
      <c r="I231" s="679">
        <v>17650</v>
      </c>
      <c r="J231" s="679">
        <v>18550</v>
      </c>
      <c r="K231" s="679">
        <v>19650</v>
      </c>
      <c r="L231" s="544">
        <v>19900</v>
      </c>
      <c r="M231" s="544">
        <v>21300</v>
      </c>
      <c r="N231" s="544">
        <v>23850</v>
      </c>
      <c r="O231" s="544">
        <v>24100</v>
      </c>
      <c r="P231" s="544">
        <v>26650</v>
      </c>
      <c r="Q231" s="544">
        <v>26650</v>
      </c>
      <c r="R231" s="544">
        <v>27350</v>
      </c>
      <c r="S231" s="544">
        <v>28350</v>
      </c>
      <c r="T231" s="544">
        <v>28350</v>
      </c>
      <c r="U231" s="544">
        <v>28550</v>
      </c>
      <c r="V231" s="680">
        <v>29450</v>
      </c>
      <c r="W231" s="681">
        <v>29750</v>
      </c>
      <c r="X231" s="682">
        <v>30300</v>
      </c>
      <c r="Y231" s="682">
        <v>30750</v>
      </c>
      <c r="Z231" s="682">
        <v>30500</v>
      </c>
      <c r="AA231" s="682">
        <v>31650</v>
      </c>
      <c r="AB231" s="682">
        <v>32800</v>
      </c>
      <c r="AC231" s="683">
        <v>31700</v>
      </c>
      <c r="AD231" s="683">
        <v>33850</v>
      </c>
      <c r="AE231" s="683">
        <v>35750</v>
      </c>
      <c r="AF231" s="683">
        <v>37850</v>
      </c>
      <c r="AG231" s="691">
        <v>40100</v>
      </c>
      <c r="AH231" s="691"/>
    </row>
    <row r="232" spans="2:34" ht="15" x14ac:dyDescent="0.25">
      <c r="B232" s="684" t="s">
        <v>433</v>
      </c>
      <c r="C232" s="679">
        <v>13700</v>
      </c>
      <c r="D232" s="679">
        <v>14600</v>
      </c>
      <c r="E232" s="679">
        <v>14950</v>
      </c>
      <c r="F232" s="679">
        <v>15900</v>
      </c>
      <c r="G232" s="679">
        <v>16300</v>
      </c>
      <c r="H232" s="679">
        <v>16300</v>
      </c>
      <c r="I232" s="679">
        <v>17550</v>
      </c>
      <c r="J232" s="679">
        <v>18550</v>
      </c>
      <c r="K232" s="679">
        <v>19650</v>
      </c>
      <c r="L232" s="544">
        <v>19900</v>
      </c>
      <c r="M232" s="544">
        <v>21300</v>
      </c>
      <c r="N232" s="544">
        <v>22500</v>
      </c>
      <c r="O232" s="544">
        <v>22900</v>
      </c>
      <c r="P232" s="544">
        <v>24150</v>
      </c>
      <c r="Q232" s="544">
        <v>24850</v>
      </c>
      <c r="R232" s="544">
        <v>25100</v>
      </c>
      <c r="S232" s="544">
        <v>25700</v>
      </c>
      <c r="T232" s="544">
        <v>25700</v>
      </c>
      <c r="U232" s="544">
        <v>25900</v>
      </c>
      <c r="V232" s="680">
        <v>26850</v>
      </c>
      <c r="W232" s="681">
        <v>27100</v>
      </c>
      <c r="X232" s="682">
        <v>28100</v>
      </c>
      <c r="Y232" s="682">
        <v>28500</v>
      </c>
      <c r="Z232" s="682">
        <v>28500</v>
      </c>
      <c r="AA232" s="682">
        <v>29900</v>
      </c>
      <c r="AB232" s="682">
        <v>30500</v>
      </c>
      <c r="AC232" s="683">
        <v>30250</v>
      </c>
      <c r="AD232" s="683">
        <v>31300</v>
      </c>
      <c r="AE232" s="683">
        <v>34000</v>
      </c>
      <c r="AF232" s="683">
        <v>35000</v>
      </c>
      <c r="AG232" s="691">
        <v>35800</v>
      </c>
      <c r="AH232" s="691"/>
    </row>
    <row r="233" spans="2:34" ht="15" x14ac:dyDescent="0.25">
      <c r="B233" s="684" t="s">
        <v>434</v>
      </c>
      <c r="C233" s="679">
        <v>13700</v>
      </c>
      <c r="D233" s="679">
        <v>14600</v>
      </c>
      <c r="E233" s="679">
        <v>14950</v>
      </c>
      <c r="F233" s="679">
        <v>15900</v>
      </c>
      <c r="G233" s="679">
        <v>16300</v>
      </c>
      <c r="H233" s="679">
        <v>16300</v>
      </c>
      <c r="I233" s="679">
        <v>17550</v>
      </c>
      <c r="J233" s="679">
        <v>18550</v>
      </c>
      <c r="K233" s="679">
        <v>19650</v>
      </c>
      <c r="L233" s="544">
        <v>19900</v>
      </c>
      <c r="M233" s="544">
        <v>21300</v>
      </c>
      <c r="N233" s="544">
        <v>22500</v>
      </c>
      <c r="O233" s="544">
        <v>22900</v>
      </c>
      <c r="P233" s="544">
        <v>24150</v>
      </c>
      <c r="Q233" s="544">
        <v>24850</v>
      </c>
      <c r="R233" s="544">
        <v>25100</v>
      </c>
      <c r="S233" s="544">
        <v>25700</v>
      </c>
      <c r="T233" s="544">
        <v>25700</v>
      </c>
      <c r="U233" s="544">
        <v>25900</v>
      </c>
      <c r="V233" s="680">
        <v>26850</v>
      </c>
      <c r="W233" s="681">
        <v>27100</v>
      </c>
      <c r="X233" s="682">
        <v>28100</v>
      </c>
      <c r="Y233" s="682">
        <v>28500</v>
      </c>
      <c r="Z233" s="682">
        <v>28500</v>
      </c>
      <c r="AA233" s="682">
        <v>29900</v>
      </c>
      <c r="AB233" s="682">
        <v>30500</v>
      </c>
      <c r="AC233" s="683">
        <v>30250</v>
      </c>
      <c r="AD233" s="683">
        <v>31300</v>
      </c>
      <c r="AE233" s="683">
        <v>34000</v>
      </c>
      <c r="AF233" s="683">
        <v>35000</v>
      </c>
      <c r="AG233" s="691">
        <v>35800</v>
      </c>
      <c r="AH233" s="691"/>
    </row>
    <row r="234" spans="2:34" ht="15" x14ac:dyDescent="0.25">
      <c r="B234" s="684" t="s">
        <v>435</v>
      </c>
      <c r="C234" s="679">
        <v>13700</v>
      </c>
      <c r="D234" s="679">
        <v>14600</v>
      </c>
      <c r="E234" s="679">
        <v>14950</v>
      </c>
      <c r="F234" s="679">
        <v>15900</v>
      </c>
      <c r="G234" s="679">
        <v>16300</v>
      </c>
      <c r="H234" s="679">
        <v>16300</v>
      </c>
      <c r="I234" s="679">
        <v>17550</v>
      </c>
      <c r="J234" s="679">
        <v>18550</v>
      </c>
      <c r="K234" s="679">
        <v>19650</v>
      </c>
      <c r="L234" s="544">
        <v>19900</v>
      </c>
      <c r="M234" s="544">
        <v>21300</v>
      </c>
      <c r="N234" s="544">
        <v>22500</v>
      </c>
      <c r="O234" s="544">
        <v>22900</v>
      </c>
      <c r="P234" s="544">
        <v>24150</v>
      </c>
      <c r="Q234" s="544">
        <v>24850</v>
      </c>
      <c r="R234" s="544">
        <v>25100</v>
      </c>
      <c r="S234" s="544">
        <v>25700</v>
      </c>
      <c r="T234" s="544">
        <v>25700</v>
      </c>
      <c r="U234" s="544">
        <v>25900</v>
      </c>
      <c r="V234" s="680">
        <v>26850</v>
      </c>
      <c r="W234" s="681">
        <v>27100</v>
      </c>
      <c r="X234" s="682">
        <v>28100</v>
      </c>
      <c r="Y234" s="682">
        <v>28500</v>
      </c>
      <c r="Z234" s="682">
        <v>28500</v>
      </c>
      <c r="AA234" s="682">
        <v>29900</v>
      </c>
      <c r="AB234" s="682">
        <v>30500</v>
      </c>
      <c r="AC234" s="683">
        <v>30250</v>
      </c>
      <c r="AD234" s="683">
        <v>31300</v>
      </c>
      <c r="AE234" s="683">
        <v>34000</v>
      </c>
      <c r="AF234" s="683">
        <v>35000</v>
      </c>
      <c r="AG234" s="691">
        <v>35800</v>
      </c>
      <c r="AH234" s="691"/>
    </row>
    <row r="235" spans="2:34" ht="15" x14ac:dyDescent="0.25">
      <c r="B235" s="684" t="s">
        <v>436</v>
      </c>
      <c r="C235" s="679">
        <v>13700</v>
      </c>
      <c r="D235" s="679">
        <v>14600</v>
      </c>
      <c r="E235" s="679">
        <v>14950</v>
      </c>
      <c r="F235" s="679">
        <v>15900</v>
      </c>
      <c r="G235" s="679">
        <v>16300</v>
      </c>
      <c r="H235" s="679">
        <v>16300</v>
      </c>
      <c r="I235" s="679">
        <v>17550</v>
      </c>
      <c r="J235" s="679">
        <v>18550</v>
      </c>
      <c r="K235" s="679">
        <v>19650</v>
      </c>
      <c r="L235" s="544">
        <v>19900</v>
      </c>
      <c r="M235" s="544">
        <v>21300</v>
      </c>
      <c r="N235" s="544">
        <v>22500</v>
      </c>
      <c r="O235" s="544">
        <v>22900</v>
      </c>
      <c r="P235" s="544">
        <v>24150</v>
      </c>
      <c r="Q235" s="544">
        <v>24850</v>
      </c>
      <c r="R235" s="544">
        <v>25100</v>
      </c>
      <c r="S235" s="544">
        <v>25700</v>
      </c>
      <c r="T235" s="544">
        <v>25700</v>
      </c>
      <c r="U235" s="544">
        <v>25900</v>
      </c>
      <c r="V235" s="680">
        <v>26850</v>
      </c>
      <c r="W235" s="681">
        <v>27100</v>
      </c>
      <c r="X235" s="682">
        <v>28100</v>
      </c>
      <c r="Y235" s="682">
        <v>28500</v>
      </c>
      <c r="Z235" s="682">
        <v>29150</v>
      </c>
      <c r="AA235" s="682">
        <v>30000</v>
      </c>
      <c r="AB235" s="682">
        <v>31100</v>
      </c>
      <c r="AC235" s="683">
        <v>30250</v>
      </c>
      <c r="AD235" s="683">
        <v>31300</v>
      </c>
      <c r="AE235" s="683">
        <v>34000</v>
      </c>
      <c r="AF235" s="683">
        <v>35000</v>
      </c>
      <c r="AG235" s="691">
        <v>35800</v>
      </c>
      <c r="AH235" s="691"/>
    </row>
    <row r="236" spans="2:34" ht="15" x14ac:dyDescent="0.25">
      <c r="B236" s="684" t="s">
        <v>437</v>
      </c>
      <c r="C236" s="679">
        <v>13700</v>
      </c>
      <c r="D236" s="679">
        <v>14600</v>
      </c>
      <c r="E236" s="679">
        <v>14950</v>
      </c>
      <c r="F236" s="679">
        <v>15900</v>
      </c>
      <c r="G236" s="679">
        <v>16300</v>
      </c>
      <c r="H236" s="679">
        <v>16300</v>
      </c>
      <c r="I236" s="679">
        <v>17550</v>
      </c>
      <c r="J236" s="679">
        <v>18550</v>
      </c>
      <c r="K236" s="679">
        <v>19650</v>
      </c>
      <c r="L236" s="544">
        <v>19900</v>
      </c>
      <c r="M236" s="544">
        <v>21300</v>
      </c>
      <c r="N236" s="544">
        <v>22500</v>
      </c>
      <c r="O236" s="544">
        <v>22900</v>
      </c>
      <c r="P236" s="544">
        <v>24150</v>
      </c>
      <c r="Q236" s="544">
        <v>24850</v>
      </c>
      <c r="R236" s="544">
        <v>25100</v>
      </c>
      <c r="S236" s="544">
        <v>25700</v>
      </c>
      <c r="T236" s="544">
        <v>25700</v>
      </c>
      <c r="U236" s="544">
        <v>25900</v>
      </c>
      <c r="V236" s="680">
        <v>26850</v>
      </c>
      <c r="W236" s="681">
        <v>27100</v>
      </c>
      <c r="X236" s="682">
        <v>28100</v>
      </c>
      <c r="Y236" s="682">
        <v>28500</v>
      </c>
      <c r="Z236" s="682">
        <v>28500</v>
      </c>
      <c r="AA236" s="682">
        <v>29900</v>
      </c>
      <c r="AB236" s="682">
        <v>30500</v>
      </c>
      <c r="AC236" s="683">
        <v>30250</v>
      </c>
      <c r="AD236" s="683">
        <v>31300</v>
      </c>
      <c r="AE236" s="683">
        <v>34000</v>
      </c>
      <c r="AF236" s="683">
        <v>35000</v>
      </c>
      <c r="AG236" s="691">
        <v>35800</v>
      </c>
      <c r="AH236" s="691"/>
    </row>
    <row r="237" spans="2:34" ht="15" x14ac:dyDescent="0.25">
      <c r="B237" s="684" t="s">
        <v>438</v>
      </c>
      <c r="C237" s="679">
        <v>13700</v>
      </c>
      <c r="D237" s="679">
        <v>14600</v>
      </c>
      <c r="E237" s="679">
        <v>14950</v>
      </c>
      <c r="F237" s="679">
        <v>15900</v>
      </c>
      <c r="G237" s="679">
        <v>16300</v>
      </c>
      <c r="H237" s="679">
        <v>16300</v>
      </c>
      <c r="I237" s="679">
        <v>17550</v>
      </c>
      <c r="J237" s="679">
        <v>18550</v>
      </c>
      <c r="K237" s="679">
        <v>19650</v>
      </c>
      <c r="L237" s="544">
        <v>19900</v>
      </c>
      <c r="M237" s="544">
        <v>21300</v>
      </c>
      <c r="N237" s="544">
        <v>22500</v>
      </c>
      <c r="O237" s="544">
        <v>22900</v>
      </c>
      <c r="P237" s="544">
        <v>24150</v>
      </c>
      <c r="Q237" s="544">
        <v>24850</v>
      </c>
      <c r="R237" s="544">
        <v>25100</v>
      </c>
      <c r="S237" s="544">
        <v>25700</v>
      </c>
      <c r="T237" s="544">
        <v>25700</v>
      </c>
      <c r="U237" s="544">
        <v>25900</v>
      </c>
      <c r="V237" s="680">
        <v>26850</v>
      </c>
      <c r="W237" s="681">
        <v>27100</v>
      </c>
      <c r="X237" s="682">
        <v>28450</v>
      </c>
      <c r="Y237" s="682">
        <v>28900</v>
      </c>
      <c r="Z237" s="682">
        <v>29950</v>
      </c>
      <c r="AA237" s="682">
        <v>30000</v>
      </c>
      <c r="AB237" s="682">
        <v>31700</v>
      </c>
      <c r="AC237" s="683">
        <v>33250</v>
      </c>
      <c r="AD237" s="683">
        <v>32000</v>
      </c>
      <c r="AE237" s="683">
        <v>34650</v>
      </c>
      <c r="AF237" s="683">
        <v>35600</v>
      </c>
      <c r="AG237" s="691">
        <v>36350</v>
      </c>
      <c r="AH237" s="691"/>
    </row>
    <row r="238" spans="2:34" ht="15" x14ac:dyDescent="0.25">
      <c r="B238" s="684" t="s">
        <v>439</v>
      </c>
      <c r="C238" s="679">
        <v>13700</v>
      </c>
      <c r="D238" s="679">
        <v>14600</v>
      </c>
      <c r="E238" s="679">
        <v>14950</v>
      </c>
      <c r="F238" s="679">
        <v>15900</v>
      </c>
      <c r="G238" s="679">
        <v>16300</v>
      </c>
      <c r="H238" s="679">
        <v>16350</v>
      </c>
      <c r="I238" s="679">
        <v>17550</v>
      </c>
      <c r="J238" s="679">
        <v>18550</v>
      </c>
      <c r="K238" s="679">
        <v>19650</v>
      </c>
      <c r="L238" s="544">
        <v>19900</v>
      </c>
      <c r="M238" s="544">
        <v>21300</v>
      </c>
      <c r="N238" s="544">
        <v>22850</v>
      </c>
      <c r="O238" s="544">
        <v>23050</v>
      </c>
      <c r="P238" s="544">
        <v>24150</v>
      </c>
      <c r="Q238" s="544">
        <v>24850</v>
      </c>
      <c r="R238" s="544">
        <v>25100</v>
      </c>
      <c r="S238" s="544">
        <v>25700</v>
      </c>
      <c r="T238" s="544">
        <v>25700</v>
      </c>
      <c r="U238" s="544">
        <v>25900</v>
      </c>
      <c r="V238" s="680">
        <v>26850</v>
      </c>
      <c r="W238" s="681">
        <v>27100</v>
      </c>
      <c r="X238" s="682">
        <v>28100</v>
      </c>
      <c r="Y238" s="682">
        <v>28500</v>
      </c>
      <c r="Z238" s="682">
        <v>28700</v>
      </c>
      <c r="AA238" s="682">
        <v>30000</v>
      </c>
      <c r="AB238" s="682">
        <v>30500</v>
      </c>
      <c r="AC238" s="683">
        <v>30250</v>
      </c>
      <c r="AD238" s="683">
        <v>31300</v>
      </c>
      <c r="AE238" s="683">
        <v>34000</v>
      </c>
      <c r="AF238" s="683">
        <v>35000</v>
      </c>
      <c r="AG238" s="691">
        <v>35800</v>
      </c>
      <c r="AH238" s="691"/>
    </row>
    <row r="239" spans="2:34" ht="15" x14ac:dyDescent="0.25">
      <c r="B239" s="684" t="s">
        <v>440</v>
      </c>
      <c r="C239" s="679">
        <v>13700</v>
      </c>
      <c r="D239" s="679">
        <v>14600</v>
      </c>
      <c r="E239" s="679">
        <v>14950</v>
      </c>
      <c r="F239" s="679">
        <v>15900</v>
      </c>
      <c r="G239" s="679">
        <v>16300</v>
      </c>
      <c r="H239" s="679">
        <v>16300</v>
      </c>
      <c r="I239" s="679">
        <v>17550</v>
      </c>
      <c r="J239" s="679">
        <v>18550</v>
      </c>
      <c r="K239" s="679">
        <v>19650</v>
      </c>
      <c r="L239" s="544">
        <v>19900</v>
      </c>
      <c r="M239" s="544">
        <v>21300</v>
      </c>
      <c r="N239" s="544">
        <v>22500</v>
      </c>
      <c r="O239" s="544">
        <v>22900</v>
      </c>
      <c r="P239" s="544">
        <v>24150</v>
      </c>
      <c r="Q239" s="544">
        <v>24850</v>
      </c>
      <c r="R239" s="544">
        <v>25100</v>
      </c>
      <c r="S239" s="544">
        <v>25950</v>
      </c>
      <c r="T239" s="544">
        <v>25950</v>
      </c>
      <c r="U239" s="544">
        <v>26150</v>
      </c>
      <c r="V239" s="680">
        <v>26850</v>
      </c>
      <c r="W239" s="681">
        <v>27100</v>
      </c>
      <c r="X239" s="682">
        <v>28450</v>
      </c>
      <c r="Y239" s="682">
        <v>29300</v>
      </c>
      <c r="Z239" s="682">
        <v>28500</v>
      </c>
      <c r="AA239" s="682">
        <v>29900</v>
      </c>
      <c r="AB239" s="682">
        <v>30500</v>
      </c>
      <c r="AC239" s="683">
        <v>30250</v>
      </c>
      <c r="AD239" s="683">
        <v>31300</v>
      </c>
      <c r="AE239" s="683">
        <v>34000</v>
      </c>
      <c r="AF239" s="683">
        <v>35000</v>
      </c>
      <c r="AG239" s="691">
        <v>35800</v>
      </c>
      <c r="AH239" s="691"/>
    </row>
    <row r="240" spans="2:34" ht="15" x14ac:dyDescent="0.25">
      <c r="B240" s="684" t="s">
        <v>441</v>
      </c>
      <c r="C240" s="679">
        <v>14900</v>
      </c>
      <c r="D240" s="679">
        <v>15750</v>
      </c>
      <c r="E240" s="679">
        <v>16550</v>
      </c>
      <c r="F240" s="679">
        <v>17150</v>
      </c>
      <c r="G240" s="679">
        <v>16300</v>
      </c>
      <c r="H240" s="679">
        <v>16650</v>
      </c>
      <c r="I240" s="679">
        <v>17650</v>
      </c>
      <c r="J240" s="679">
        <v>18550</v>
      </c>
      <c r="K240" s="679">
        <v>19650</v>
      </c>
      <c r="L240" s="544">
        <v>19900</v>
      </c>
      <c r="M240" s="544">
        <v>21300</v>
      </c>
      <c r="N240" s="544">
        <v>25750</v>
      </c>
      <c r="O240" s="544">
        <v>26150</v>
      </c>
      <c r="P240" s="544">
        <v>26150</v>
      </c>
      <c r="Q240" s="544">
        <v>26150</v>
      </c>
      <c r="R240" s="544">
        <v>26700</v>
      </c>
      <c r="S240" s="544">
        <v>27550</v>
      </c>
      <c r="T240" s="544">
        <v>27550</v>
      </c>
      <c r="U240" s="544">
        <v>27700</v>
      </c>
      <c r="V240" s="680">
        <v>28950</v>
      </c>
      <c r="W240" s="681">
        <v>29250</v>
      </c>
      <c r="X240" s="682">
        <v>30700</v>
      </c>
      <c r="Y240" s="682">
        <v>32200</v>
      </c>
      <c r="Z240" s="682">
        <v>33350</v>
      </c>
      <c r="AA240" s="682">
        <v>33050</v>
      </c>
      <c r="AB240" s="682">
        <v>33700</v>
      </c>
      <c r="AC240" s="683">
        <v>32050</v>
      </c>
      <c r="AD240" s="683">
        <v>31900</v>
      </c>
      <c r="AE240" s="683">
        <v>34000</v>
      </c>
      <c r="AF240" s="683">
        <v>37400</v>
      </c>
      <c r="AG240" s="691">
        <v>37950</v>
      </c>
      <c r="AH240" s="691"/>
    </row>
    <row r="241" spans="2:34" ht="15" x14ac:dyDescent="0.25">
      <c r="B241" s="684" t="s">
        <v>442</v>
      </c>
      <c r="C241" s="679">
        <v>13950</v>
      </c>
      <c r="D241" s="679">
        <v>14950</v>
      </c>
      <c r="E241" s="679">
        <v>15050</v>
      </c>
      <c r="F241" s="679">
        <v>15900</v>
      </c>
      <c r="G241" s="679">
        <v>16300</v>
      </c>
      <c r="H241" s="679">
        <v>16300</v>
      </c>
      <c r="I241" s="679">
        <v>17550</v>
      </c>
      <c r="J241" s="679">
        <v>18550</v>
      </c>
      <c r="K241" s="679">
        <v>19650</v>
      </c>
      <c r="L241" s="544">
        <v>19900</v>
      </c>
      <c r="M241" s="544">
        <v>21300</v>
      </c>
      <c r="N241" s="544">
        <v>22500</v>
      </c>
      <c r="O241" s="544">
        <v>22900</v>
      </c>
      <c r="P241" s="544">
        <v>24150</v>
      </c>
      <c r="Q241" s="544">
        <v>24850</v>
      </c>
      <c r="R241" s="544">
        <v>25100</v>
      </c>
      <c r="S241" s="544">
        <v>25700</v>
      </c>
      <c r="T241" s="544">
        <v>25700</v>
      </c>
      <c r="U241" s="544">
        <v>25900</v>
      </c>
      <c r="V241" s="680">
        <v>26850</v>
      </c>
      <c r="W241" s="681">
        <v>27100</v>
      </c>
      <c r="X241" s="682">
        <v>28100</v>
      </c>
      <c r="Y241" s="682">
        <v>28500</v>
      </c>
      <c r="Z241" s="682">
        <v>28900</v>
      </c>
      <c r="AA241" s="682">
        <v>30000</v>
      </c>
      <c r="AB241" s="682">
        <v>30750</v>
      </c>
      <c r="AC241" s="683">
        <v>30250</v>
      </c>
      <c r="AD241" s="683">
        <v>31550</v>
      </c>
      <c r="AE241" s="683">
        <v>34000</v>
      </c>
      <c r="AF241" s="683">
        <v>35000</v>
      </c>
      <c r="AG241" s="691">
        <v>35800</v>
      </c>
      <c r="AH241" s="691"/>
    </row>
    <row r="242" spans="2:34" ht="15" x14ac:dyDescent="0.25">
      <c r="B242" s="684" t="s">
        <v>443</v>
      </c>
      <c r="C242" s="679">
        <v>13700</v>
      </c>
      <c r="D242" s="679">
        <v>14600</v>
      </c>
      <c r="E242" s="679">
        <v>14950</v>
      </c>
      <c r="F242" s="679">
        <v>15900</v>
      </c>
      <c r="G242" s="679">
        <v>16300</v>
      </c>
      <c r="H242" s="679">
        <v>16300</v>
      </c>
      <c r="I242" s="679">
        <v>17550</v>
      </c>
      <c r="J242" s="679">
        <v>18550</v>
      </c>
      <c r="K242" s="679">
        <v>19650</v>
      </c>
      <c r="L242" s="544">
        <v>19900</v>
      </c>
      <c r="M242" s="544">
        <v>21300</v>
      </c>
      <c r="N242" s="544">
        <v>22500</v>
      </c>
      <c r="O242" s="544">
        <v>22900</v>
      </c>
      <c r="P242" s="544">
        <v>24150</v>
      </c>
      <c r="Q242" s="544">
        <v>24850</v>
      </c>
      <c r="R242" s="544">
        <v>25100</v>
      </c>
      <c r="S242" s="544">
        <v>25700</v>
      </c>
      <c r="T242" s="544">
        <v>25700</v>
      </c>
      <c r="U242" s="544">
        <v>25900</v>
      </c>
      <c r="V242" s="680">
        <v>26850</v>
      </c>
      <c r="W242" s="681">
        <v>27100</v>
      </c>
      <c r="X242" s="682">
        <v>28100</v>
      </c>
      <c r="Y242" s="682">
        <v>28500</v>
      </c>
      <c r="Z242" s="682">
        <v>28500</v>
      </c>
      <c r="AA242" s="682">
        <v>29900</v>
      </c>
      <c r="AB242" s="682">
        <v>30500</v>
      </c>
      <c r="AC242" s="683">
        <v>30250</v>
      </c>
      <c r="AD242" s="683">
        <v>31300</v>
      </c>
      <c r="AE242" s="683">
        <v>34000</v>
      </c>
      <c r="AF242" s="683">
        <v>35000</v>
      </c>
      <c r="AG242" s="691">
        <v>35800</v>
      </c>
      <c r="AH242" s="691"/>
    </row>
    <row r="243" spans="2:34" ht="15" x14ac:dyDescent="0.25">
      <c r="B243" s="684" t="s">
        <v>444</v>
      </c>
      <c r="C243" s="679">
        <v>13800</v>
      </c>
      <c r="D243" s="679">
        <v>14600</v>
      </c>
      <c r="E243" s="679">
        <v>14950</v>
      </c>
      <c r="F243" s="679">
        <v>15900</v>
      </c>
      <c r="G243" s="679">
        <v>16300</v>
      </c>
      <c r="H243" s="679">
        <v>16300</v>
      </c>
      <c r="I243" s="679">
        <v>17550</v>
      </c>
      <c r="J243" s="679">
        <v>18550</v>
      </c>
      <c r="K243" s="679">
        <v>19650</v>
      </c>
      <c r="L243" s="544">
        <v>19900</v>
      </c>
      <c r="M243" s="544">
        <v>21300</v>
      </c>
      <c r="N243" s="544">
        <v>22500</v>
      </c>
      <c r="O243" s="544">
        <v>22900</v>
      </c>
      <c r="P243" s="544">
        <v>24150</v>
      </c>
      <c r="Q243" s="544">
        <v>24850</v>
      </c>
      <c r="R243" s="544">
        <v>25100</v>
      </c>
      <c r="S243" s="544">
        <v>25700</v>
      </c>
      <c r="T243" s="544">
        <v>25700</v>
      </c>
      <c r="U243" s="544">
        <v>25900</v>
      </c>
      <c r="V243" s="680">
        <v>26850</v>
      </c>
      <c r="W243" s="681">
        <v>27100</v>
      </c>
      <c r="X243" s="682">
        <v>28100</v>
      </c>
      <c r="Y243" s="682">
        <v>28500</v>
      </c>
      <c r="Z243" s="682">
        <v>28500</v>
      </c>
      <c r="AA243" s="682">
        <v>29900</v>
      </c>
      <c r="AB243" s="682">
        <v>30500</v>
      </c>
      <c r="AC243" s="683">
        <v>30250</v>
      </c>
      <c r="AD243" s="683">
        <v>31300</v>
      </c>
      <c r="AE243" s="683">
        <v>34000</v>
      </c>
      <c r="AF243" s="683">
        <v>35000</v>
      </c>
      <c r="AG243" s="691">
        <v>35800</v>
      </c>
      <c r="AH243" s="691"/>
    </row>
    <row r="244" spans="2:34" ht="15" x14ac:dyDescent="0.25">
      <c r="B244" s="684" t="s">
        <v>445</v>
      </c>
      <c r="C244" s="679">
        <v>13700</v>
      </c>
      <c r="D244" s="679">
        <v>14600</v>
      </c>
      <c r="E244" s="679">
        <v>14950</v>
      </c>
      <c r="F244" s="679">
        <v>15900</v>
      </c>
      <c r="G244" s="679">
        <v>16300</v>
      </c>
      <c r="H244" s="679">
        <v>16300</v>
      </c>
      <c r="I244" s="679">
        <v>17550</v>
      </c>
      <c r="J244" s="679">
        <v>18550</v>
      </c>
      <c r="K244" s="679">
        <v>19650</v>
      </c>
      <c r="L244" s="544">
        <v>19900</v>
      </c>
      <c r="M244" s="544">
        <v>21300</v>
      </c>
      <c r="N244" s="544">
        <v>22500</v>
      </c>
      <c r="O244" s="544">
        <v>22900</v>
      </c>
      <c r="P244" s="544">
        <v>24150</v>
      </c>
      <c r="Q244" s="544">
        <v>24850</v>
      </c>
      <c r="R244" s="544">
        <v>25100</v>
      </c>
      <c r="S244" s="544">
        <v>25700</v>
      </c>
      <c r="T244" s="544">
        <v>25700</v>
      </c>
      <c r="U244" s="544">
        <v>25900</v>
      </c>
      <c r="V244" s="680">
        <v>26850</v>
      </c>
      <c r="W244" s="681">
        <v>27100</v>
      </c>
      <c r="X244" s="682">
        <v>28100</v>
      </c>
      <c r="Y244" s="682">
        <v>28500</v>
      </c>
      <c r="Z244" s="682">
        <v>28500</v>
      </c>
      <c r="AA244" s="682">
        <v>29900</v>
      </c>
      <c r="AB244" s="682">
        <v>30500</v>
      </c>
      <c r="AC244" s="683">
        <v>30250</v>
      </c>
      <c r="AD244" s="683">
        <v>31300</v>
      </c>
      <c r="AE244" s="683">
        <v>34000</v>
      </c>
      <c r="AF244" s="683">
        <v>35000</v>
      </c>
      <c r="AG244" s="691">
        <v>35800</v>
      </c>
      <c r="AH244" s="691"/>
    </row>
    <row r="245" spans="2:34" ht="15" x14ac:dyDescent="0.25">
      <c r="B245" s="684" t="s">
        <v>446</v>
      </c>
      <c r="C245" s="679">
        <v>18700</v>
      </c>
      <c r="D245" s="679">
        <v>19650</v>
      </c>
      <c r="E245" s="679">
        <v>20350</v>
      </c>
      <c r="F245" s="679">
        <v>20900</v>
      </c>
      <c r="G245" s="679">
        <v>21750</v>
      </c>
      <c r="H245" s="679">
        <v>21800</v>
      </c>
      <c r="I245" s="679">
        <v>22450</v>
      </c>
      <c r="J245" s="679">
        <v>24400</v>
      </c>
      <c r="K245" s="679">
        <v>24800</v>
      </c>
      <c r="L245" s="544">
        <v>25200</v>
      </c>
      <c r="M245" s="544">
        <v>25500</v>
      </c>
      <c r="N245" s="544">
        <v>30900</v>
      </c>
      <c r="O245" s="544">
        <v>31300</v>
      </c>
      <c r="P245" s="544">
        <v>31300</v>
      </c>
      <c r="Q245" s="544">
        <v>31800</v>
      </c>
      <c r="R245" s="544">
        <v>32150</v>
      </c>
      <c r="S245" s="544">
        <v>33050</v>
      </c>
      <c r="T245" s="544">
        <v>33050</v>
      </c>
      <c r="U245" s="544">
        <v>33050</v>
      </c>
      <c r="V245" s="680">
        <v>34150</v>
      </c>
      <c r="W245" s="681">
        <v>34250</v>
      </c>
      <c r="X245" s="682">
        <v>34750</v>
      </c>
      <c r="Y245" s="682">
        <v>35250</v>
      </c>
      <c r="Z245" s="682">
        <v>33950</v>
      </c>
      <c r="AA245" s="682">
        <v>33900</v>
      </c>
      <c r="AB245" s="682">
        <v>35500</v>
      </c>
      <c r="AC245" s="683">
        <v>35200</v>
      </c>
      <c r="AD245" s="683">
        <v>36000</v>
      </c>
      <c r="AE245" s="683">
        <v>39200</v>
      </c>
      <c r="AF245" s="683">
        <v>40200</v>
      </c>
      <c r="AG245" s="691">
        <v>41050</v>
      </c>
      <c r="AH245" s="691"/>
    </row>
    <row r="246" spans="2:34" ht="15" x14ac:dyDescent="0.25">
      <c r="B246" s="684" t="s">
        <v>447</v>
      </c>
      <c r="C246" s="679">
        <v>15650</v>
      </c>
      <c r="D246" s="679">
        <v>16150</v>
      </c>
      <c r="E246" s="679">
        <v>16650</v>
      </c>
      <c r="F246" s="679">
        <v>16950</v>
      </c>
      <c r="G246" s="679">
        <v>21750</v>
      </c>
      <c r="H246" s="679">
        <v>21800</v>
      </c>
      <c r="I246" s="679">
        <v>17650</v>
      </c>
      <c r="J246" s="679">
        <v>18550</v>
      </c>
      <c r="K246" s="679">
        <v>19650</v>
      </c>
      <c r="L246" s="544">
        <v>19900</v>
      </c>
      <c r="M246" s="544">
        <v>21300</v>
      </c>
      <c r="N246" s="544">
        <v>24200</v>
      </c>
      <c r="O246" s="544">
        <v>25000</v>
      </c>
      <c r="P246" s="544">
        <v>26400</v>
      </c>
      <c r="Q246" s="544">
        <v>27350</v>
      </c>
      <c r="R246" s="544">
        <v>27350</v>
      </c>
      <c r="S246" s="544">
        <v>27950</v>
      </c>
      <c r="T246" s="544">
        <v>27950</v>
      </c>
      <c r="U246" s="544">
        <v>28150</v>
      </c>
      <c r="V246" s="680">
        <v>29350</v>
      </c>
      <c r="W246" s="681">
        <v>29500</v>
      </c>
      <c r="X246" s="682">
        <v>30950</v>
      </c>
      <c r="Y246" s="682">
        <v>31500</v>
      </c>
      <c r="Z246" s="682">
        <v>32300</v>
      </c>
      <c r="AA246" s="682">
        <v>33900</v>
      </c>
      <c r="AB246" s="682">
        <v>33600</v>
      </c>
      <c r="AC246" s="683">
        <v>32050</v>
      </c>
      <c r="AD246" s="683">
        <v>32400</v>
      </c>
      <c r="AE246" s="683">
        <v>34000</v>
      </c>
      <c r="AF246" s="683">
        <v>35000</v>
      </c>
      <c r="AG246" s="691">
        <v>36750</v>
      </c>
      <c r="AH246" s="691"/>
    </row>
    <row r="247" spans="2:34" ht="15" x14ac:dyDescent="0.25">
      <c r="B247" s="684" t="s">
        <v>448</v>
      </c>
      <c r="C247" s="679">
        <v>13700</v>
      </c>
      <c r="D247" s="679">
        <v>14600</v>
      </c>
      <c r="E247" s="679">
        <v>14950</v>
      </c>
      <c r="F247" s="679">
        <v>15900</v>
      </c>
      <c r="G247" s="679">
        <v>16300</v>
      </c>
      <c r="H247" s="679">
        <v>16300</v>
      </c>
      <c r="I247" s="679">
        <v>17550</v>
      </c>
      <c r="J247" s="679">
        <v>18550</v>
      </c>
      <c r="K247" s="679">
        <v>19650</v>
      </c>
      <c r="L247" s="544">
        <v>19900</v>
      </c>
      <c r="M247" s="544">
        <v>21300</v>
      </c>
      <c r="N247" s="544">
        <v>22500</v>
      </c>
      <c r="O247" s="544">
        <v>22900</v>
      </c>
      <c r="P247" s="544">
        <v>24150</v>
      </c>
      <c r="Q247" s="544">
        <v>24850</v>
      </c>
      <c r="R247" s="544">
        <v>25100</v>
      </c>
      <c r="S247" s="544">
        <v>25700</v>
      </c>
      <c r="T247" s="544">
        <v>25700</v>
      </c>
      <c r="U247" s="544">
        <v>25900</v>
      </c>
      <c r="V247" s="680">
        <v>26850</v>
      </c>
      <c r="W247" s="681">
        <v>27100</v>
      </c>
      <c r="X247" s="682">
        <v>28100</v>
      </c>
      <c r="Y247" s="682">
        <v>28500</v>
      </c>
      <c r="Z247" s="682">
        <v>28500</v>
      </c>
      <c r="AA247" s="682">
        <v>29900</v>
      </c>
      <c r="AB247" s="682">
        <v>30500</v>
      </c>
      <c r="AC247" s="683">
        <v>30250</v>
      </c>
      <c r="AD247" s="683">
        <v>31300</v>
      </c>
      <c r="AE247" s="683">
        <v>34000</v>
      </c>
      <c r="AF247" s="683">
        <v>35000</v>
      </c>
      <c r="AG247" s="691">
        <v>35800</v>
      </c>
      <c r="AH247" s="691"/>
    </row>
    <row r="248" spans="2:34" ht="15" x14ac:dyDescent="0.25">
      <c r="B248" s="684" t="s">
        <v>449</v>
      </c>
      <c r="C248" s="679">
        <v>13700</v>
      </c>
      <c r="D248" s="679">
        <v>14600</v>
      </c>
      <c r="E248" s="679">
        <v>14950</v>
      </c>
      <c r="F248" s="679">
        <v>15900</v>
      </c>
      <c r="G248" s="679">
        <v>16300</v>
      </c>
      <c r="H248" s="679">
        <v>16300</v>
      </c>
      <c r="I248" s="679">
        <v>17550</v>
      </c>
      <c r="J248" s="679">
        <v>18550</v>
      </c>
      <c r="K248" s="679">
        <v>19650</v>
      </c>
      <c r="L248" s="544">
        <v>19900</v>
      </c>
      <c r="M248" s="544">
        <v>21300</v>
      </c>
      <c r="N248" s="544">
        <v>22500</v>
      </c>
      <c r="O248" s="544">
        <v>24200</v>
      </c>
      <c r="P248" s="544">
        <v>24200</v>
      </c>
      <c r="Q248" s="544">
        <v>24850</v>
      </c>
      <c r="R248" s="544">
        <v>25100</v>
      </c>
      <c r="S248" s="544">
        <v>25700</v>
      </c>
      <c r="T248" s="544">
        <v>25700</v>
      </c>
      <c r="U248" s="544">
        <v>25900</v>
      </c>
      <c r="V248" s="680">
        <v>26850</v>
      </c>
      <c r="W248" s="681">
        <v>27100</v>
      </c>
      <c r="X248" s="682">
        <v>28100</v>
      </c>
      <c r="Y248" s="682">
        <v>28500</v>
      </c>
      <c r="Z248" s="682">
        <v>28500</v>
      </c>
      <c r="AA248" s="682">
        <v>29900</v>
      </c>
      <c r="AB248" s="682">
        <v>30500</v>
      </c>
      <c r="AC248" s="683">
        <v>30250</v>
      </c>
      <c r="AD248" s="683">
        <v>31300</v>
      </c>
      <c r="AE248" s="683">
        <v>34000</v>
      </c>
      <c r="AF248" s="683">
        <v>35000</v>
      </c>
      <c r="AG248" s="691">
        <v>35800</v>
      </c>
      <c r="AH248" s="691"/>
    </row>
    <row r="249" spans="2:34" ht="15" x14ac:dyDescent="0.25">
      <c r="B249" s="684" t="s">
        <v>450</v>
      </c>
      <c r="C249" s="679">
        <v>13700</v>
      </c>
      <c r="D249" s="679">
        <v>14600</v>
      </c>
      <c r="E249" s="679">
        <v>14950</v>
      </c>
      <c r="F249" s="679">
        <v>15900</v>
      </c>
      <c r="G249" s="679">
        <v>16300</v>
      </c>
      <c r="H249" s="679">
        <v>16300</v>
      </c>
      <c r="I249" s="679">
        <v>17550</v>
      </c>
      <c r="J249" s="679">
        <v>18550</v>
      </c>
      <c r="K249" s="679">
        <v>19950</v>
      </c>
      <c r="L249" s="544">
        <v>19900</v>
      </c>
      <c r="M249" s="544">
        <v>21300</v>
      </c>
      <c r="N249" s="544">
        <v>22500</v>
      </c>
      <c r="O249" s="544">
        <v>22900</v>
      </c>
      <c r="P249" s="544">
        <v>24150</v>
      </c>
      <c r="Q249" s="544">
        <v>24850</v>
      </c>
      <c r="R249" s="544">
        <v>25100</v>
      </c>
      <c r="S249" s="544">
        <v>25700</v>
      </c>
      <c r="T249" s="544">
        <v>25700</v>
      </c>
      <c r="U249" s="544">
        <v>25900</v>
      </c>
      <c r="V249" s="680">
        <v>26850</v>
      </c>
      <c r="W249" s="681">
        <v>27100</v>
      </c>
      <c r="X249" s="682">
        <v>28450</v>
      </c>
      <c r="Y249" s="682">
        <v>29850</v>
      </c>
      <c r="Z249" s="682">
        <v>31300</v>
      </c>
      <c r="AA249" s="682">
        <v>31800</v>
      </c>
      <c r="AB249" s="682">
        <v>30500</v>
      </c>
      <c r="AC249" s="683">
        <v>30250</v>
      </c>
      <c r="AD249" s="683">
        <v>31300</v>
      </c>
      <c r="AE249" s="683">
        <v>34000</v>
      </c>
      <c r="AF249" s="683">
        <v>35000</v>
      </c>
      <c r="AG249" s="691">
        <v>37150</v>
      </c>
      <c r="AH249" s="691"/>
    </row>
    <row r="250" spans="2:34" ht="15" x14ac:dyDescent="0.25">
      <c r="B250" s="684" t="s">
        <v>451</v>
      </c>
      <c r="C250" s="679">
        <v>14650</v>
      </c>
      <c r="D250" s="679">
        <v>16100</v>
      </c>
      <c r="E250" s="679">
        <v>16950</v>
      </c>
      <c r="F250" s="679">
        <v>17050</v>
      </c>
      <c r="G250" s="679">
        <v>17650</v>
      </c>
      <c r="H250" s="679">
        <v>17650</v>
      </c>
      <c r="I250" s="679">
        <v>18750</v>
      </c>
      <c r="J250" s="679">
        <v>19600</v>
      </c>
      <c r="K250" s="679">
        <v>19650</v>
      </c>
      <c r="L250" s="544">
        <v>20250</v>
      </c>
      <c r="M250" s="544">
        <v>21300</v>
      </c>
      <c r="N250" s="544">
        <v>24000</v>
      </c>
      <c r="O250" s="544">
        <v>24350</v>
      </c>
      <c r="P250" s="544">
        <v>25300</v>
      </c>
      <c r="Q250" s="544">
        <v>25600</v>
      </c>
      <c r="R250" s="544">
        <v>26850</v>
      </c>
      <c r="S250" s="544">
        <v>27750</v>
      </c>
      <c r="T250" s="544">
        <v>27750</v>
      </c>
      <c r="U250" s="544">
        <v>27950</v>
      </c>
      <c r="V250" s="680">
        <v>28900</v>
      </c>
      <c r="W250" s="681">
        <v>29150</v>
      </c>
      <c r="X250" s="682">
        <v>30000</v>
      </c>
      <c r="Y250" s="682">
        <v>30400</v>
      </c>
      <c r="Z250" s="682">
        <v>30750</v>
      </c>
      <c r="AA250" s="682">
        <v>31250</v>
      </c>
      <c r="AB250" s="682">
        <v>30900</v>
      </c>
      <c r="AC250" s="683">
        <v>30250</v>
      </c>
      <c r="AD250" s="683">
        <v>31300</v>
      </c>
      <c r="AE250" s="683">
        <v>34000</v>
      </c>
      <c r="AF250" s="683">
        <v>35000</v>
      </c>
      <c r="AG250" s="691">
        <v>35800</v>
      </c>
      <c r="AH250" s="691"/>
    </row>
    <row r="251" spans="2:34" ht="15" x14ac:dyDescent="0.25">
      <c r="B251" s="684" t="s">
        <v>452</v>
      </c>
      <c r="C251" s="679">
        <v>14200</v>
      </c>
      <c r="D251" s="679">
        <v>15050</v>
      </c>
      <c r="E251" s="679">
        <v>15800</v>
      </c>
      <c r="F251" s="679">
        <v>15900</v>
      </c>
      <c r="G251" s="679">
        <v>16300</v>
      </c>
      <c r="H251" s="679">
        <v>16300</v>
      </c>
      <c r="I251" s="679">
        <v>17550</v>
      </c>
      <c r="J251" s="679">
        <v>18550</v>
      </c>
      <c r="K251" s="679">
        <v>19650</v>
      </c>
      <c r="L251" s="544">
        <v>19900</v>
      </c>
      <c r="M251" s="544">
        <v>21300</v>
      </c>
      <c r="N251" s="544">
        <v>22500</v>
      </c>
      <c r="O251" s="544">
        <v>22900</v>
      </c>
      <c r="P251" s="544">
        <v>24150</v>
      </c>
      <c r="Q251" s="544">
        <v>24850</v>
      </c>
      <c r="R251" s="544">
        <v>25100</v>
      </c>
      <c r="S251" s="544">
        <v>25700</v>
      </c>
      <c r="T251" s="544">
        <v>25700</v>
      </c>
      <c r="U251" s="544">
        <v>25900</v>
      </c>
      <c r="V251" s="680">
        <v>26850</v>
      </c>
      <c r="W251" s="681">
        <v>27100</v>
      </c>
      <c r="X251" s="682">
        <v>28150</v>
      </c>
      <c r="Y251" s="682">
        <v>28550</v>
      </c>
      <c r="Z251" s="682">
        <v>28500</v>
      </c>
      <c r="AA251" s="682">
        <v>29900</v>
      </c>
      <c r="AB251" s="682">
        <v>30500</v>
      </c>
      <c r="AC251" s="683">
        <v>30250</v>
      </c>
      <c r="AD251" s="683">
        <v>31300</v>
      </c>
      <c r="AE251" s="683">
        <v>34000</v>
      </c>
      <c r="AF251" s="683">
        <v>35000</v>
      </c>
      <c r="AG251" s="691">
        <v>35800</v>
      </c>
      <c r="AH251" s="691"/>
    </row>
    <row r="252" spans="2:34" ht="15" x14ac:dyDescent="0.25">
      <c r="B252" s="684" t="s">
        <v>453</v>
      </c>
      <c r="C252" s="679">
        <v>13700</v>
      </c>
      <c r="D252" s="679">
        <v>14600</v>
      </c>
      <c r="E252" s="679">
        <v>14950</v>
      </c>
      <c r="F252" s="679">
        <v>15900</v>
      </c>
      <c r="G252" s="679">
        <v>16300</v>
      </c>
      <c r="H252" s="679">
        <v>16300</v>
      </c>
      <c r="I252" s="679">
        <v>17550</v>
      </c>
      <c r="J252" s="679">
        <v>18550</v>
      </c>
      <c r="K252" s="679">
        <v>19650</v>
      </c>
      <c r="L252" s="544">
        <v>19900</v>
      </c>
      <c r="M252" s="544">
        <v>21300</v>
      </c>
      <c r="N252" s="544">
        <v>22500</v>
      </c>
      <c r="O252" s="544">
        <v>22900</v>
      </c>
      <c r="P252" s="544">
        <v>24150</v>
      </c>
      <c r="Q252" s="544">
        <v>24850</v>
      </c>
      <c r="R252" s="544">
        <v>25100</v>
      </c>
      <c r="S252" s="544">
        <v>25700</v>
      </c>
      <c r="T252" s="544">
        <v>25700</v>
      </c>
      <c r="U252" s="544">
        <v>25900</v>
      </c>
      <c r="V252" s="680">
        <v>26850</v>
      </c>
      <c r="W252" s="681">
        <v>27100</v>
      </c>
      <c r="X252" s="682">
        <v>28100</v>
      </c>
      <c r="Y252" s="682">
        <v>28500</v>
      </c>
      <c r="Z252" s="682">
        <v>28500</v>
      </c>
      <c r="AA252" s="682">
        <v>29900</v>
      </c>
      <c r="AB252" s="682">
        <v>30500</v>
      </c>
      <c r="AC252" s="683">
        <v>30250</v>
      </c>
      <c r="AD252" s="683">
        <v>31300</v>
      </c>
      <c r="AE252" s="683">
        <v>34000</v>
      </c>
      <c r="AF252" s="683">
        <v>35000</v>
      </c>
      <c r="AG252" s="691">
        <v>35800</v>
      </c>
      <c r="AH252" s="691"/>
    </row>
    <row r="253" spans="2:34" ht="15" x14ac:dyDescent="0.25">
      <c r="B253" s="684" t="s">
        <v>454</v>
      </c>
      <c r="C253" s="679">
        <v>13700</v>
      </c>
      <c r="D253" s="679">
        <v>14600</v>
      </c>
      <c r="E253" s="679">
        <v>14950</v>
      </c>
      <c r="F253" s="679">
        <v>15900</v>
      </c>
      <c r="G253" s="679">
        <v>16300</v>
      </c>
      <c r="H253" s="679">
        <v>16300</v>
      </c>
      <c r="I253" s="679">
        <v>17550</v>
      </c>
      <c r="J253" s="679">
        <v>18550</v>
      </c>
      <c r="K253" s="679">
        <v>19650</v>
      </c>
      <c r="L253" s="544">
        <v>19900</v>
      </c>
      <c r="M253" s="544">
        <v>21300</v>
      </c>
      <c r="N253" s="544">
        <v>22500</v>
      </c>
      <c r="O253" s="544">
        <v>22900</v>
      </c>
      <c r="P253" s="544">
        <v>24150</v>
      </c>
      <c r="Q253" s="544">
        <v>24850</v>
      </c>
      <c r="R253" s="544">
        <v>25100</v>
      </c>
      <c r="S253" s="544">
        <v>25700</v>
      </c>
      <c r="T253" s="544">
        <v>25700</v>
      </c>
      <c r="U253" s="544">
        <v>25900</v>
      </c>
      <c r="V253" s="680">
        <v>26850</v>
      </c>
      <c r="W253" s="681">
        <v>27100</v>
      </c>
      <c r="X253" s="682">
        <v>28100</v>
      </c>
      <c r="Y253" s="682">
        <v>28500</v>
      </c>
      <c r="Z253" s="682">
        <v>28500</v>
      </c>
      <c r="AA253" s="682">
        <v>29900</v>
      </c>
      <c r="AB253" s="682">
        <v>30500</v>
      </c>
      <c r="AC253" s="683">
        <v>30250</v>
      </c>
      <c r="AD253" s="683">
        <v>31300</v>
      </c>
      <c r="AE253" s="683">
        <v>34000</v>
      </c>
      <c r="AF253" s="683">
        <v>35000</v>
      </c>
      <c r="AG253" s="691">
        <v>35800</v>
      </c>
      <c r="AH253" s="691"/>
    </row>
    <row r="254" spans="2:34" ht="15" x14ac:dyDescent="0.25">
      <c r="B254" s="684" t="s">
        <v>455</v>
      </c>
      <c r="C254" s="679">
        <v>13700</v>
      </c>
      <c r="D254" s="679">
        <v>14600</v>
      </c>
      <c r="E254" s="679">
        <v>14950</v>
      </c>
      <c r="F254" s="679">
        <v>17000</v>
      </c>
      <c r="G254" s="679">
        <v>16300</v>
      </c>
      <c r="H254" s="679">
        <v>16650</v>
      </c>
      <c r="I254" s="679">
        <v>17650</v>
      </c>
      <c r="J254" s="679">
        <v>18550</v>
      </c>
      <c r="K254" s="679">
        <v>19650</v>
      </c>
      <c r="L254" s="544">
        <v>19900</v>
      </c>
      <c r="M254" s="544">
        <v>21300</v>
      </c>
      <c r="N254" s="544">
        <v>27100</v>
      </c>
      <c r="O254" s="544">
        <v>28850</v>
      </c>
      <c r="P254" s="544">
        <v>28850</v>
      </c>
      <c r="Q254" s="544">
        <v>28850</v>
      </c>
      <c r="R254" s="544">
        <v>28850</v>
      </c>
      <c r="S254" s="544">
        <v>28850</v>
      </c>
      <c r="T254" s="544">
        <v>28850</v>
      </c>
      <c r="U254" s="544">
        <v>28850</v>
      </c>
      <c r="V254" s="680">
        <v>28850</v>
      </c>
      <c r="W254" s="681">
        <v>28500</v>
      </c>
      <c r="X254" s="682">
        <v>28750</v>
      </c>
      <c r="Y254" s="682">
        <v>29150</v>
      </c>
      <c r="Z254" s="682">
        <v>29450</v>
      </c>
      <c r="AA254" s="682">
        <v>30150</v>
      </c>
      <c r="AB254" s="682">
        <v>31900</v>
      </c>
      <c r="AC254" s="683">
        <v>33450</v>
      </c>
      <c r="AD254" s="683">
        <v>35750</v>
      </c>
      <c r="AE254" s="683">
        <v>38500</v>
      </c>
      <c r="AF254" s="683">
        <v>39600</v>
      </c>
      <c r="AG254" s="691">
        <v>37650</v>
      </c>
      <c r="AH254" s="691"/>
    </row>
    <row r="255" spans="2:34" ht="15" x14ac:dyDescent="0.25">
      <c r="B255" s="684" t="s">
        <v>456</v>
      </c>
      <c r="C255" s="679">
        <v>13700</v>
      </c>
      <c r="D255" s="679">
        <v>14600</v>
      </c>
      <c r="E255" s="679">
        <v>14950</v>
      </c>
      <c r="F255" s="679">
        <v>15900</v>
      </c>
      <c r="G255" s="679">
        <v>16300</v>
      </c>
      <c r="H255" s="679">
        <v>16300</v>
      </c>
      <c r="I255" s="679">
        <v>17550</v>
      </c>
      <c r="J255" s="679">
        <v>18550</v>
      </c>
      <c r="K255" s="679">
        <v>19650</v>
      </c>
      <c r="L255" s="544">
        <v>19900</v>
      </c>
      <c r="M255" s="544">
        <v>21300</v>
      </c>
      <c r="N255" s="544">
        <v>22500</v>
      </c>
      <c r="O255" s="544">
        <v>22900</v>
      </c>
      <c r="P255" s="544">
        <v>24150</v>
      </c>
      <c r="Q255" s="544">
        <v>24850</v>
      </c>
      <c r="R255" s="544">
        <v>25100</v>
      </c>
      <c r="S255" s="544">
        <v>25700</v>
      </c>
      <c r="T255" s="544">
        <v>25700</v>
      </c>
      <c r="U255" s="544">
        <v>25900</v>
      </c>
      <c r="V255" s="680">
        <v>26850</v>
      </c>
      <c r="W255" s="681">
        <v>27100</v>
      </c>
      <c r="X255" s="682">
        <v>28100</v>
      </c>
      <c r="Y255" s="682">
        <v>28500</v>
      </c>
      <c r="Z255" s="682">
        <v>28500</v>
      </c>
      <c r="AA255" s="682">
        <v>29900</v>
      </c>
      <c r="AB255" s="682">
        <v>30500</v>
      </c>
      <c r="AC255" s="683">
        <v>30250</v>
      </c>
      <c r="AD255" s="683">
        <v>31300</v>
      </c>
      <c r="AE255" s="683">
        <v>34000</v>
      </c>
      <c r="AF255" s="683">
        <v>35000</v>
      </c>
      <c r="AG255" s="691">
        <v>35800</v>
      </c>
      <c r="AH255" s="691"/>
    </row>
    <row r="256" spans="2:34" ht="15" x14ac:dyDescent="0.25">
      <c r="B256" s="684" t="s">
        <v>457</v>
      </c>
      <c r="C256" s="679">
        <v>14550</v>
      </c>
      <c r="D256" s="679">
        <v>15350</v>
      </c>
      <c r="E256" s="679">
        <v>15500</v>
      </c>
      <c r="F256" s="679">
        <v>16400</v>
      </c>
      <c r="G256" s="679">
        <v>16400</v>
      </c>
      <c r="H256" s="679">
        <v>16400</v>
      </c>
      <c r="I256" s="679">
        <v>17550</v>
      </c>
      <c r="J256" s="679">
        <v>18550</v>
      </c>
      <c r="K256" s="679">
        <v>19650</v>
      </c>
      <c r="L256" s="544">
        <v>19900</v>
      </c>
      <c r="M256" s="544">
        <v>21300</v>
      </c>
      <c r="N256" s="544">
        <v>22500</v>
      </c>
      <c r="O256" s="544">
        <v>22900</v>
      </c>
      <c r="P256" s="544">
        <v>26000</v>
      </c>
      <c r="Q256" s="544">
        <v>26350</v>
      </c>
      <c r="R256" s="544">
        <v>27100</v>
      </c>
      <c r="S256" s="544">
        <v>28000</v>
      </c>
      <c r="T256" s="544">
        <v>28000</v>
      </c>
      <c r="U256" s="544">
        <v>28150</v>
      </c>
      <c r="V256" s="680">
        <v>29250</v>
      </c>
      <c r="W256" s="681">
        <v>29500</v>
      </c>
      <c r="X256" s="682">
        <v>29600</v>
      </c>
      <c r="Y256" s="682">
        <v>30050</v>
      </c>
      <c r="Z256" s="682">
        <v>31500</v>
      </c>
      <c r="AA256" s="682">
        <v>32200</v>
      </c>
      <c r="AB256" s="682">
        <v>33700</v>
      </c>
      <c r="AC256" s="683">
        <v>32750</v>
      </c>
      <c r="AD256" s="683">
        <v>33550</v>
      </c>
      <c r="AE256" s="683">
        <v>34150</v>
      </c>
      <c r="AF256" s="683">
        <v>35250</v>
      </c>
      <c r="AG256" s="691">
        <v>36650</v>
      </c>
      <c r="AH256" s="691"/>
    </row>
    <row r="257" spans="2:34" ht="15" x14ac:dyDescent="0.25">
      <c r="B257" s="684" t="s">
        <v>458</v>
      </c>
      <c r="C257" s="679">
        <v>13700</v>
      </c>
      <c r="D257" s="679">
        <v>14600</v>
      </c>
      <c r="E257" s="679">
        <v>14950</v>
      </c>
      <c r="F257" s="679">
        <v>15900</v>
      </c>
      <c r="G257" s="679">
        <v>16300</v>
      </c>
      <c r="H257" s="679">
        <v>16300</v>
      </c>
      <c r="I257" s="679">
        <v>17550</v>
      </c>
      <c r="J257" s="679">
        <v>18550</v>
      </c>
      <c r="K257" s="679">
        <v>19650</v>
      </c>
      <c r="L257" s="544">
        <v>19900</v>
      </c>
      <c r="M257" s="544">
        <v>21300</v>
      </c>
      <c r="N257" s="544">
        <v>22500</v>
      </c>
      <c r="O257" s="544">
        <v>22900</v>
      </c>
      <c r="P257" s="544">
        <v>24150</v>
      </c>
      <c r="Q257" s="544">
        <v>24850</v>
      </c>
      <c r="R257" s="544">
        <v>25100</v>
      </c>
      <c r="S257" s="544">
        <v>25700</v>
      </c>
      <c r="T257" s="544">
        <v>25700</v>
      </c>
      <c r="U257" s="544">
        <v>25900</v>
      </c>
      <c r="V257" s="680">
        <v>26850</v>
      </c>
      <c r="W257" s="681">
        <v>27100</v>
      </c>
      <c r="X257" s="682">
        <v>28100</v>
      </c>
      <c r="Y257" s="682">
        <v>28500</v>
      </c>
      <c r="Z257" s="682">
        <v>28500</v>
      </c>
      <c r="AA257" s="682">
        <v>29900</v>
      </c>
      <c r="AB257" s="682">
        <v>30500</v>
      </c>
      <c r="AC257" s="683">
        <v>30250</v>
      </c>
      <c r="AD257" s="683">
        <v>31300</v>
      </c>
      <c r="AE257" s="683">
        <v>34000</v>
      </c>
      <c r="AF257" s="683">
        <v>35000</v>
      </c>
      <c r="AG257" s="691">
        <v>35800</v>
      </c>
      <c r="AH257" s="691"/>
    </row>
    <row r="258" spans="2:34" ht="15" x14ac:dyDescent="0.25">
      <c r="B258" s="684" t="s">
        <v>459</v>
      </c>
      <c r="C258" s="679">
        <v>13700</v>
      </c>
      <c r="D258" s="679">
        <v>14600</v>
      </c>
      <c r="E258" s="679">
        <v>14950</v>
      </c>
      <c r="F258" s="679">
        <v>15900</v>
      </c>
      <c r="G258" s="679">
        <v>16300</v>
      </c>
      <c r="H258" s="679">
        <v>16300</v>
      </c>
      <c r="I258" s="679">
        <v>17550</v>
      </c>
      <c r="J258" s="679">
        <v>18550</v>
      </c>
      <c r="K258" s="679">
        <v>19650</v>
      </c>
      <c r="L258" s="544">
        <v>19900</v>
      </c>
      <c r="M258" s="544">
        <v>21300</v>
      </c>
      <c r="N258" s="544">
        <v>22500</v>
      </c>
      <c r="O258" s="544">
        <v>22900</v>
      </c>
      <c r="P258" s="544">
        <v>24150</v>
      </c>
      <c r="Q258" s="544">
        <v>24850</v>
      </c>
      <c r="R258" s="544">
        <v>25100</v>
      </c>
      <c r="S258" s="544">
        <v>26150</v>
      </c>
      <c r="T258" s="544">
        <v>26150</v>
      </c>
      <c r="U258" s="544">
        <v>26200</v>
      </c>
      <c r="V258" s="680">
        <v>27150</v>
      </c>
      <c r="W258" s="681">
        <v>27400</v>
      </c>
      <c r="X258" s="682">
        <v>28750</v>
      </c>
      <c r="Y258" s="682">
        <v>29500</v>
      </c>
      <c r="Z258" s="682">
        <v>30950</v>
      </c>
      <c r="AA258" s="682">
        <v>32450</v>
      </c>
      <c r="AB258" s="682">
        <v>32700</v>
      </c>
      <c r="AC258" s="683">
        <v>33850</v>
      </c>
      <c r="AD258" s="683">
        <v>34950</v>
      </c>
      <c r="AE258" s="683">
        <v>34750</v>
      </c>
      <c r="AF258" s="683">
        <v>37150</v>
      </c>
      <c r="AG258" s="691">
        <v>36950</v>
      </c>
      <c r="AH258" s="691"/>
    </row>
    <row r="259" spans="2:34" ht="15" x14ac:dyDescent="0.25">
      <c r="B259" s="684" t="s">
        <v>460</v>
      </c>
      <c r="C259" s="679">
        <v>15400</v>
      </c>
      <c r="D259" s="679">
        <v>16300</v>
      </c>
      <c r="E259" s="679">
        <v>17150</v>
      </c>
      <c r="F259" s="679">
        <v>18350</v>
      </c>
      <c r="G259" s="679">
        <v>16300</v>
      </c>
      <c r="H259" s="679">
        <v>16650</v>
      </c>
      <c r="I259" s="679">
        <v>17650</v>
      </c>
      <c r="J259" s="679">
        <v>18550</v>
      </c>
      <c r="K259" s="679">
        <v>19650</v>
      </c>
      <c r="L259" s="544">
        <v>19900</v>
      </c>
      <c r="M259" s="544">
        <v>21300</v>
      </c>
      <c r="N259" s="544">
        <v>26450</v>
      </c>
      <c r="O259" s="544">
        <v>27050</v>
      </c>
      <c r="P259" s="544">
        <v>27050</v>
      </c>
      <c r="Q259" s="544">
        <v>27050</v>
      </c>
      <c r="R259" s="544">
        <v>27050</v>
      </c>
      <c r="S259" s="544">
        <v>27650</v>
      </c>
      <c r="T259" s="544">
        <v>27650</v>
      </c>
      <c r="U259" s="544">
        <v>27750</v>
      </c>
      <c r="V259" s="680">
        <v>29000</v>
      </c>
      <c r="W259" s="681">
        <v>29300</v>
      </c>
      <c r="X259" s="682">
        <v>30450</v>
      </c>
      <c r="Y259" s="682">
        <v>30900</v>
      </c>
      <c r="Z259" s="682">
        <v>32400</v>
      </c>
      <c r="AA259" s="682">
        <v>32500</v>
      </c>
      <c r="AB259" s="682">
        <v>33300</v>
      </c>
      <c r="AC259" s="683">
        <v>33800</v>
      </c>
      <c r="AD259" s="683">
        <v>35000</v>
      </c>
      <c r="AE259" s="683">
        <v>34850</v>
      </c>
      <c r="AF259" s="683">
        <v>35850</v>
      </c>
      <c r="AG259" s="691">
        <v>38400</v>
      </c>
      <c r="AH259" s="691"/>
    </row>
    <row r="260" spans="2:34" ht="15" x14ac:dyDescent="0.25">
      <c r="B260" s="684" t="s">
        <v>461</v>
      </c>
      <c r="C260" s="679">
        <v>13700</v>
      </c>
      <c r="D260" s="679">
        <v>14600</v>
      </c>
      <c r="E260" s="679">
        <v>14950</v>
      </c>
      <c r="F260" s="679">
        <v>15900</v>
      </c>
      <c r="G260" s="679">
        <v>16300</v>
      </c>
      <c r="H260" s="679">
        <v>16300</v>
      </c>
      <c r="I260" s="679">
        <v>17550</v>
      </c>
      <c r="J260" s="679">
        <v>18550</v>
      </c>
      <c r="K260" s="679">
        <v>19650</v>
      </c>
      <c r="L260" s="544">
        <v>19900</v>
      </c>
      <c r="M260" s="544">
        <v>21300</v>
      </c>
      <c r="N260" s="544">
        <v>22500</v>
      </c>
      <c r="O260" s="544">
        <v>22900</v>
      </c>
      <c r="P260" s="544">
        <v>24150</v>
      </c>
      <c r="Q260" s="544">
        <v>24850</v>
      </c>
      <c r="R260" s="544">
        <v>25100</v>
      </c>
      <c r="S260" s="544">
        <v>25700</v>
      </c>
      <c r="T260" s="544">
        <v>25700</v>
      </c>
      <c r="U260" s="544">
        <v>25900</v>
      </c>
      <c r="V260" s="680">
        <v>26850</v>
      </c>
      <c r="W260" s="681">
        <v>27100</v>
      </c>
      <c r="X260" s="682">
        <v>28450</v>
      </c>
      <c r="Y260" s="682">
        <v>29850</v>
      </c>
      <c r="Z260" s="682">
        <v>31000</v>
      </c>
      <c r="AA260" s="682">
        <v>31200</v>
      </c>
      <c r="AB260" s="682">
        <v>32400</v>
      </c>
      <c r="AC260" s="683">
        <v>31900</v>
      </c>
      <c r="AD260" s="683">
        <v>32950</v>
      </c>
      <c r="AE260" s="683">
        <v>34600</v>
      </c>
      <c r="AF260" s="683">
        <v>35150</v>
      </c>
      <c r="AG260" s="691">
        <v>37100</v>
      </c>
      <c r="AH260" s="691"/>
    </row>
    <row r="261" spans="2:34" ht="15" x14ac:dyDescent="0.25">
      <c r="B261" s="684" t="s">
        <v>462</v>
      </c>
      <c r="C261" s="679">
        <v>15650</v>
      </c>
      <c r="D261" s="679">
        <v>17000</v>
      </c>
      <c r="E261" s="679">
        <v>17000</v>
      </c>
      <c r="F261" s="679">
        <v>17900</v>
      </c>
      <c r="G261" s="679">
        <v>17700</v>
      </c>
      <c r="H261" s="679">
        <v>17950</v>
      </c>
      <c r="I261" s="679">
        <v>17950</v>
      </c>
      <c r="J261" s="679">
        <v>18550</v>
      </c>
      <c r="K261" s="679">
        <v>19650</v>
      </c>
      <c r="L261" s="544">
        <v>19900</v>
      </c>
      <c r="M261" s="544">
        <v>21300</v>
      </c>
      <c r="N261" s="544">
        <v>24400</v>
      </c>
      <c r="O261" s="544">
        <v>24800</v>
      </c>
      <c r="P261" s="544">
        <v>27500</v>
      </c>
      <c r="Q261" s="544">
        <v>27750</v>
      </c>
      <c r="R261" s="544">
        <v>28550</v>
      </c>
      <c r="S261" s="544">
        <v>29400</v>
      </c>
      <c r="T261" s="544">
        <v>29400</v>
      </c>
      <c r="U261" s="544">
        <v>29550</v>
      </c>
      <c r="V261" s="680">
        <v>30700</v>
      </c>
      <c r="W261" s="681">
        <v>30950</v>
      </c>
      <c r="X261" s="682">
        <v>30950</v>
      </c>
      <c r="Y261" s="682">
        <v>31350</v>
      </c>
      <c r="Z261" s="682">
        <v>31700</v>
      </c>
      <c r="AA261" s="682">
        <v>31700</v>
      </c>
      <c r="AB261" s="682">
        <v>32350</v>
      </c>
      <c r="AC261" s="683">
        <v>31200</v>
      </c>
      <c r="AD261" s="683">
        <v>33350</v>
      </c>
      <c r="AE261" s="683">
        <v>35550</v>
      </c>
      <c r="AF261" s="683">
        <v>37800</v>
      </c>
      <c r="AG261" s="691">
        <v>39000</v>
      </c>
      <c r="AH261" s="691"/>
    </row>
    <row r="262" spans="2:34" ht="15" x14ac:dyDescent="0.25">
      <c r="B262" s="684" t="s">
        <v>463</v>
      </c>
      <c r="C262" s="679">
        <v>13700</v>
      </c>
      <c r="D262" s="679">
        <v>14600</v>
      </c>
      <c r="E262" s="679">
        <v>14950</v>
      </c>
      <c r="F262" s="679">
        <v>17150</v>
      </c>
      <c r="G262" s="679">
        <v>16300</v>
      </c>
      <c r="H262" s="679">
        <v>16300</v>
      </c>
      <c r="I262" s="679">
        <v>17650</v>
      </c>
      <c r="J262" s="679">
        <v>18550</v>
      </c>
      <c r="K262" s="679">
        <v>19650</v>
      </c>
      <c r="L262" s="544">
        <v>19900</v>
      </c>
      <c r="M262" s="544">
        <v>21300</v>
      </c>
      <c r="N262" s="544">
        <v>24400</v>
      </c>
      <c r="O262" s="544">
        <v>25400</v>
      </c>
      <c r="P262" s="544">
        <v>26250</v>
      </c>
      <c r="Q262" s="544">
        <v>28300</v>
      </c>
      <c r="R262" s="544">
        <v>28300</v>
      </c>
      <c r="S262" s="544">
        <v>28300</v>
      </c>
      <c r="T262" s="544">
        <v>28300</v>
      </c>
      <c r="U262" s="544">
        <v>28350</v>
      </c>
      <c r="V262" s="680">
        <v>29100</v>
      </c>
      <c r="W262" s="681">
        <v>29350</v>
      </c>
      <c r="X262" s="682">
        <v>29450</v>
      </c>
      <c r="Y262" s="682">
        <v>29850</v>
      </c>
      <c r="Z262" s="682">
        <v>29900</v>
      </c>
      <c r="AA262" s="682">
        <v>31250</v>
      </c>
      <c r="AB262" s="682">
        <v>32750</v>
      </c>
      <c r="AC262" s="683">
        <v>32650</v>
      </c>
      <c r="AD262" s="683">
        <v>34100</v>
      </c>
      <c r="AE262" s="683">
        <v>37800</v>
      </c>
      <c r="AF262" s="683">
        <v>38050</v>
      </c>
      <c r="AG262" s="691">
        <v>40800</v>
      </c>
      <c r="AH262" s="691"/>
    </row>
    <row r="263" spans="2:34" ht="15" x14ac:dyDescent="0.25">
      <c r="B263" s="684" t="s">
        <v>464</v>
      </c>
      <c r="C263" s="679">
        <v>14350</v>
      </c>
      <c r="D263" s="679">
        <v>15400</v>
      </c>
      <c r="E263" s="679">
        <v>15500</v>
      </c>
      <c r="F263" s="679">
        <v>15900</v>
      </c>
      <c r="G263" s="679">
        <v>16400</v>
      </c>
      <c r="H263" s="679">
        <v>16400</v>
      </c>
      <c r="I263" s="679">
        <v>17550</v>
      </c>
      <c r="J263" s="679">
        <v>18550</v>
      </c>
      <c r="K263" s="679">
        <v>19650</v>
      </c>
      <c r="L263" s="544">
        <v>19900</v>
      </c>
      <c r="M263" s="544">
        <v>21300</v>
      </c>
      <c r="N263" s="544">
        <v>22500</v>
      </c>
      <c r="O263" s="544">
        <v>22900</v>
      </c>
      <c r="P263" s="544">
        <v>24150</v>
      </c>
      <c r="Q263" s="544">
        <v>24850</v>
      </c>
      <c r="R263" s="544">
        <v>25100</v>
      </c>
      <c r="S263" s="544">
        <v>25700</v>
      </c>
      <c r="T263" s="544">
        <v>25700</v>
      </c>
      <c r="U263" s="544">
        <v>25900</v>
      </c>
      <c r="V263" s="680">
        <v>26850</v>
      </c>
      <c r="W263" s="681">
        <v>27100</v>
      </c>
      <c r="X263" s="682">
        <v>28100</v>
      </c>
      <c r="Y263" s="682">
        <v>28500</v>
      </c>
      <c r="Z263" s="682">
        <v>29150</v>
      </c>
      <c r="AA263" s="682">
        <v>30000</v>
      </c>
      <c r="AB263" s="682">
        <v>31200</v>
      </c>
      <c r="AC263" s="683">
        <v>30250</v>
      </c>
      <c r="AD263" s="683">
        <v>31300</v>
      </c>
      <c r="AE263" s="683">
        <v>34000</v>
      </c>
      <c r="AF263" s="683">
        <v>35000</v>
      </c>
      <c r="AG263" s="691">
        <v>35800</v>
      </c>
      <c r="AH263" s="691"/>
    </row>
    <row r="264" spans="2:34" ht="15" x14ac:dyDescent="0.25">
      <c r="B264" s="684" t="s">
        <v>465</v>
      </c>
      <c r="C264" s="679">
        <v>13700</v>
      </c>
      <c r="D264" s="679">
        <v>14600</v>
      </c>
      <c r="E264" s="679">
        <v>14950</v>
      </c>
      <c r="F264" s="679">
        <v>15900</v>
      </c>
      <c r="G264" s="679">
        <v>16300</v>
      </c>
      <c r="H264" s="679">
        <v>16300</v>
      </c>
      <c r="I264" s="679">
        <v>17550</v>
      </c>
      <c r="J264" s="679">
        <v>18550</v>
      </c>
      <c r="K264" s="679">
        <v>19650</v>
      </c>
      <c r="L264" s="544">
        <v>19900</v>
      </c>
      <c r="M264" s="544">
        <v>21300</v>
      </c>
      <c r="N264" s="544">
        <v>22500</v>
      </c>
      <c r="O264" s="544">
        <v>22900</v>
      </c>
      <c r="P264" s="544">
        <v>24150</v>
      </c>
      <c r="Q264" s="544">
        <v>24850</v>
      </c>
      <c r="R264" s="544">
        <v>25100</v>
      </c>
      <c r="S264" s="544">
        <v>25700</v>
      </c>
      <c r="T264" s="544">
        <v>25700</v>
      </c>
      <c r="U264" s="544">
        <v>25900</v>
      </c>
      <c r="V264" s="680">
        <v>26850</v>
      </c>
      <c r="W264" s="681">
        <v>27100</v>
      </c>
      <c r="X264" s="682">
        <v>28100</v>
      </c>
      <c r="Y264" s="682">
        <v>28500</v>
      </c>
      <c r="Z264" s="682">
        <v>28500</v>
      </c>
      <c r="AA264" s="682">
        <v>29900</v>
      </c>
      <c r="AB264" s="682">
        <v>30500</v>
      </c>
      <c r="AC264" s="683">
        <v>30250</v>
      </c>
      <c r="AD264" s="683">
        <v>31300</v>
      </c>
      <c r="AE264" s="683">
        <v>34000</v>
      </c>
      <c r="AF264" s="683">
        <v>35000</v>
      </c>
      <c r="AG264" s="691">
        <v>35800</v>
      </c>
      <c r="AH264" s="691"/>
    </row>
    <row r="265" spans="2:34" ht="15" x14ac:dyDescent="0.25">
      <c r="B265" s="684" t="s">
        <v>466</v>
      </c>
      <c r="C265" s="679">
        <v>13700</v>
      </c>
      <c r="D265" s="679">
        <v>14600</v>
      </c>
      <c r="E265" s="679">
        <v>14950</v>
      </c>
      <c r="F265" s="679">
        <v>15900</v>
      </c>
      <c r="G265" s="679">
        <v>16300</v>
      </c>
      <c r="H265" s="679">
        <v>16300</v>
      </c>
      <c r="I265" s="679">
        <v>17550</v>
      </c>
      <c r="J265" s="679">
        <v>18550</v>
      </c>
      <c r="K265" s="679">
        <v>19650</v>
      </c>
      <c r="L265" s="544">
        <v>19900</v>
      </c>
      <c r="M265" s="544">
        <v>21300</v>
      </c>
      <c r="N265" s="544">
        <v>22500</v>
      </c>
      <c r="O265" s="544">
        <v>22900</v>
      </c>
      <c r="P265" s="544">
        <v>24150</v>
      </c>
      <c r="Q265" s="544">
        <v>24850</v>
      </c>
      <c r="R265" s="544">
        <v>25100</v>
      </c>
      <c r="S265" s="544">
        <v>25700</v>
      </c>
      <c r="T265" s="544">
        <v>25700</v>
      </c>
      <c r="U265" s="544">
        <v>25900</v>
      </c>
      <c r="V265" s="680">
        <v>26850</v>
      </c>
      <c r="W265" s="681">
        <v>27100</v>
      </c>
      <c r="X265" s="682">
        <v>28100</v>
      </c>
      <c r="Y265" s="682">
        <v>28500</v>
      </c>
      <c r="Z265" s="682">
        <v>28500</v>
      </c>
      <c r="AA265" s="682">
        <v>29900</v>
      </c>
      <c r="AB265" s="682">
        <v>30500</v>
      </c>
      <c r="AC265" s="683">
        <v>30250</v>
      </c>
      <c r="AD265" s="683">
        <v>31300</v>
      </c>
      <c r="AE265" s="683">
        <v>34000</v>
      </c>
      <c r="AF265" s="683">
        <v>35000</v>
      </c>
      <c r="AG265" s="691">
        <v>35800</v>
      </c>
      <c r="AH265" s="691"/>
    </row>
    <row r="266" spans="2:34" ht="15" x14ac:dyDescent="0.25">
      <c r="B266" s="684" t="s">
        <v>467</v>
      </c>
      <c r="C266" s="679">
        <v>15250</v>
      </c>
      <c r="D266" s="679">
        <v>16100</v>
      </c>
      <c r="E266" s="679">
        <v>16250</v>
      </c>
      <c r="F266" s="679">
        <v>16750</v>
      </c>
      <c r="G266" s="679">
        <v>16750</v>
      </c>
      <c r="H266" s="679">
        <v>16800</v>
      </c>
      <c r="I266" s="679">
        <v>17550</v>
      </c>
      <c r="J266" s="679">
        <v>18550</v>
      </c>
      <c r="K266" s="679">
        <v>19650</v>
      </c>
      <c r="L266" s="544">
        <v>19900</v>
      </c>
      <c r="M266" s="544">
        <v>21300</v>
      </c>
      <c r="N266" s="544">
        <v>22500</v>
      </c>
      <c r="O266" s="544">
        <v>22900</v>
      </c>
      <c r="P266" s="544">
        <v>26700</v>
      </c>
      <c r="Q266" s="544">
        <v>27450</v>
      </c>
      <c r="R266" s="544">
        <v>27450</v>
      </c>
      <c r="S266" s="544">
        <v>27700</v>
      </c>
      <c r="T266" s="544">
        <v>27700</v>
      </c>
      <c r="U266" s="544">
        <v>27800</v>
      </c>
      <c r="V266" s="680">
        <v>28500</v>
      </c>
      <c r="W266" s="681">
        <v>28800</v>
      </c>
      <c r="X266" s="682">
        <v>28950</v>
      </c>
      <c r="Y266" s="682">
        <v>29350</v>
      </c>
      <c r="Z266" s="682">
        <v>29250</v>
      </c>
      <c r="AA266" s="682">
        <v>30000</v>
      </c>
      <c r="AB266" s="682">
        <v>30500</v>
      </c>
      <c r="AC266" s="683">
        <v>30250</v>
      </c>
      <c r="AD266" s="683">
        <v>31300</v>
      </c>
      <c r="AE266" s="683">
        <v>34000</v>
      </c>
      <c r="AF266" s="683">
        <v>35000</v>
      </c>
      <c r="AG266" s="691">
        <v>35800</v>
      </c>
      <c r="AH266" s="691"/>
    </row>
    <row r="267" spans="2:34" ht="15" x14ac:dyDescent="0.25">
      <c r="B267" s="684" t="s">
        <v>468</v>
      </c>
      <c r="C267" s="679">
        <v>18600</v>
      </c>
      <c r="D267" s="679">
        <v>19400</v>
      </c>
      <c r="E267" s="679">
        <v>19950</v>
      </c>
      <c r="F267" s="679">
        <v>20750</v>
      </c>
      <c r="G267" s="679">
        <v>21350</v>
      </c>
      <c r="H267" s="679">
        <v>21450</v>
      </c>
      <c r="I267" s="679">
        <v>22950</v>
      </c>
      <c r="J267" s="679">
        <v>23750</v>
      </c>
      <c r="K267" s="679">
        <v>24150</v>
      </c>
      <c r="L267" s="544">
        <v>26800</v>
      </c>
      <c r="M267" s="544">
        <v>28100</v>
      </c>
      <c r="N267" s="544">
        <v>31200</v>
      </c>
      <c r="O267" s="544">
        <v>32200</v>
      </c>
      <c r="P267" s="544">
        <v>32200</v>
      </c>
      <c r="Q267" s="544">
        <v>32200</v>
      </c>
      <c r="R267" s="544">
        <v>32650</v>
      </c>
      <c r="S267" s="544">
        <v>33250</v>
      </c>
      <c r="T267" s="544">
        <v>33250</v>
      </c>
      <c r="U267" s="544">
        <v>33550</v>
      </c>
      <c r="V267" s="680">
        <v>34950</v>
      </c>
      <c r="W267" s="681">
        <v>35150</v>
      </c>
      <c r="X267" s="682">
        <v>35300</v>
      </c>
      <c r="Y267" s="682">
        <v>35750</v>
      </c>
      <c r="Z267" s="682">
        <v>36350</v>
      </c>
      <c r="AA267" s="682">
        <v>36500</v>
      </c>
      <c r="AB267" s="682">
        <v>36400</v>
      </c>
      <c r="AC267" s="683">
        <v>36050</v>
      </c>
      <c r="AD267" s="683">
        <v>37500</v>
      </c>
      <c r="AE267" s="683">
        <v>40800</v>
      </c>
      <c r="AF267" s="683">
        <v>43000</v>
      </c>
      <c r="AG267" s="691">
        <v>43500</v>
      </c>
      <c r="AH267" s="691"/>
    </row>
    <row r="268" spans="2:34" ht="15" x14ac:dyDescent="0.25">
      <c r="B268" s="684" t="s">
        <v>469</v>
      </c>
      <c r="C268" s="679">
        <v>16000</v>
      </c>
      <c r="D268" s="679">
        <v>16700</v>
      </c>
      <c r="E268" s="679">
        <v>17200</v>
      </c>
      <c r="F268" s="679">
        <v>17300</v>
      </c>
      <c r="G268" s="679">
        <v>16700</v>
      </c>
      <c r="H268" s="679">
        <v>17100</v>
      </c>
      <c r="I268" s="679">
        <v>17650</v>
      </c>
      <c r="J268" s="679">
        <v>18550</v>
      </c>
      <c r="K268" s="679">
        <v>19650</v>
      </c>
      <c r="L268" s="544">
        <v>19900</v>
      </c>
      <c r="M268" s="544">
        <v>21300</v>
      </c>
      <c r="N268" s="544">
        <v>24700</v>
      </c>
      <c r="O268" s="544">
        <v>25400</v>
      </c>
      <c r="P268" s="544">
        <v>28650</v>
      </c>
      <c r="Q268" s="544">
        <v>29000</v>
      </c>
      <c r="R268" s="544">
        <v>29650</v>
      </c>
      <c r="S268" s="544">
        <v>30600</v>
      </c>
      <c r="T268" s="544">
        <v>30600</v>
      </c>
      <c r="U268" s="544">
        <v>30800</v>
      </c>
      <c r="V268" s="680">
        <v>32700</v>
      </c>
      <c r="W268" s="681">
        <v>32400</v>
      </c>
      <c r="X268" s="682">
        <v>34000</v>
      </c>
      <c r="Y268" s="682">
        <v>35150</v>
      </c>
      <c r="Z268" s="682">
        <v>35900</v>
      </c>
      <c r="AA268" s="682">
        <v>36650</v>
      </c>
      <c r="AB268" s="682">
        <v>38550</v>
      </c>
      <c r="AC268" s="683">
        <v>38100</v>
      </c>
      <c r="AD268" s="683">
        <v>38050</v>
      </c>
      <c r="AE268" s="683">
        <v>38500</v>
      </c>
      <c r="AF268" s="683">
        <v>40800</v>
      </c>
      <c r="AG268" s="691">
        <v>41400</v>
      </c>
      <c r="AH268" s="691"/>
    </row>
    <row r="269" spans="2:34" ht="15" x14ac:dyDescent="0.25">
      <c r="B269" s="684" t="s">
        <v>470</v>
      </c>
      <c r="C269" s="679">
        <v>13700</v>
      </c>
      <c r="D269" s="679">
        <v>14600</v>
      </c>
      <c r="E269" s="679">
        <v>14950</v>
      </c>
      <c r="F269" s="679">
        <v>15900</v>
      </c>
      <c r="G269" s="679">
        <v>16300</v>
      </c>
      <c r="H269" s="679">
        <v>16300</v>
      </c>
      <c r="I269" s="679">
        <v>17550</v>
      </c>
      <c r="J269" s="679">
        <v>18550</v>
      </c>
      <c r="K269" s="679">
        <v>19650</v>
      </c>
      <c r="L269" s="544">
        <v>19900</v>
      </c>
      <c r="M269" s="544">
        <v>21300</v>
      </c>
      <c r="N269" s="544">
        <v>22500</v>
      </c>
      <c r="O269" s="544">
        <v>22900</v>
      </c>
      <c r="P269" s="544">
        <v>24150</v>
      </c>
      <c r="Q269" s="544">
        <v>24850</v>
      </c>
      <c r="R269" s="544">
        <v>25100</v>
      </c>
      <c r="S269" s="544">
        <v>25700</v>
      </c>
      <c r="T269" s="544">
        <v>25700</v>
      </c>
      <c r="U269" s="544">
        <v>25900</v>
      </c>
      <c r="V269" s="680">
        <v>26850</v>
      </c>
      <c r="W269" s="681">
        <v>27100</v>
      </c>
      <c r="X269" s="682">
        <v>28100</v>
      </c>
      <c r="Y269" s="682">
        <v>28500</v>
      </c>
      <c r="Z269" s="682">
        <v>28500</v>
      </c>
      <c r="AA269" s="682">
        <v>29900</v>
      </c>
      <c r="AB269" s="682">
        <v>30500</v>
      </c>
      <c r="AC269" s="683">
        <v>30250</v>
      </c>
      <c r="AD269" s="683">
        <v>31300</v>
      </c>
      <c r="AE269" s="683">
        <v>34000</v>
      </c>
      <c r="AF269" s="683">
        <v>35000</v>
      </c>
      <c r="AG269" s="691">
        <v>35800</v>
      </c>
      <c r="AH269" s="691"/>
    </row>
    <row r="270" spans="2:34" ht="15" x14ac:dyDescent="0.25">
      <c r="B270" s="684" t="s">
        <v>471</v>
      </c>
      <c r="C270" s="679">
        <v>14800</v>
      </c>
      <c r="D270" s="679">
        <v>15650</v>
      </c>
      <c r="E270" s="679">
        <v>15800</v>
      </c>
      <c r="F270" s="679">
        <v>17650</v>
      </c>
      <c r="G270" s="679">
        <v>18050</v>
      </c>
      <c r="H270" s="679">
        <v>18450</v>
      </c>
      <c r="I270" s="679">
        <v>18450</v>
      </c>
      <c r="J270" s="679">
        <v>18550</v>
      </c>
      <c r="K270" s="679">
        <v>19650</v>
      </c>
      <c r="L270" s="544">
        <v>19900</v>
      </c>
      <c r="M270" s="544">
        <v>21300</v>
      </c>
      <c r="N270" s="544">
        <v>26750</v>
      </c>
      <c r="O270" s="544">
        <v>27450</v>
      </c>
      <c r="P270" s="544">
        <v>29800</v>
      </c>
      <c r="Q270" s="544">
        <v>31250</v>
      </c>
      <c r="R270" s="544">
        <v>31250</v>
      </c>
      <c r="S270" s="544">
        <v>32000</v>
      </c>
      <c r="T270" s="544">
        <v>32000</v>
      </c>
      <c r="U270" s="544">
        <v>32250</v>
      </c>
      <c r="V270" s="680">
        <v>33450</v>
      </c>
      <c r="W270" s="681">
        <v>33750</v>
      </c>
      <c r="X270" s="682">
        <v>35400</v>
      </c>
      <c r="Y270" s="682">
        <v>37100</v>
      </c>
      <c r="Z270" s="682">
        <v>38200</v>
      </c>
      <c r="AA270" s="682">
        <v>38250</v>
      </c>
      <c r="AB270" s="682">
        <v>39250</v>
      </c>
      <c r="AC270" s="683">
        <v>38150</v>
      </c>
      <c r="AD270" s="683">
        <v>37450</v>
      </c>
      <c r="AE270" s="683">
        <v>38600</v>
      </c>
      <c r="AF270" s="683">
        <v>41300</v>
      </c>
      <c r="AG270" s="691">
        <v>42300</v>
      </c>
      <c r="AH270" s="691"/>
    </row>
    <row r="271" spans="2:34" ht="15" x14ac:dyDescent="0.25">
      <c r="B271" s="684" t="s">
        <v>472</v>
      </c>
      <c r="C271" s="679">
        <v>13700</v>
      </c>
      <c r="D271" s="679">
        <v>14600</v>
      </c>
      <c r="E271" s="679">
        <v>14950</v>
      </c>
      <c r="F271" s="679">
        <v>15900</v>
      </c>
      <c r="G271" s="679">
        <v>16300</v>
      </c>
      <c r="H271" s="679">
        <v>16300</v>
      </c>
      <c r="I271" s="679">
        <v>17550</v>
      </c>
      <c r="J271" s="679">
        <v>18550</v>
      </c>
      <c r="K271" s="679">
        <v>19650</v>
      </c>
      <c r="L271" s="544">
        <v>19900</v>
      </c>
      <c r="M271" s="544">
        <v>21300</v>
      </c>
      <c r="N271" s="544">
        <v>22500</v>
      </c>
      <c r="O271" s="544">
        <v>22900</v>
      </c>
      <c r="P271" s="544">
        <v>24150</v>
      </c>
      <c r="Q271" s="544">
        <v>24850</v>
      </c>
      <c r="R271" s="544">
        <v>25100</v>
      </c>
      <c r="S271" s="544">
        <v>25700</v>
      </c>
      <c r="T271" s="544">
        <v>25700</v>
      </c>
      <c r="U271" s="544">
        <v>25900</v>
      </c>
      <c r="V271" s="680">
        <v>26850</v>
      </c>
      <c r="W271" s="681">
        <v>27100</v>
      </c>
      <c r="X271" s="682">
        <v>28100</v>
      </c>
      <c r="Y271" s="682">
        <v>28500</v>
      </c>
      <c r="Z271" s="682">
        <v>28500</v>
      </c>
      <c r="AA271" s="682">
        <v>29900</v>
      </c>
      <c r="AB271" s="682">
        <v>30500</v>
      </c>
      <c r="AC271" s="683">
        <v>30250</v>
      </c>
      <c r="AD271" s="683">
        <v>31300</v>
      </c>
      <c r="AE271" s="683">
        <v>34000</v>
      </c>
      <c r="AF271" s="683">
        <v>35000</v>
      </c>
      <c r="AG271" s="691">
        <v>35800</v>
      </c>
      <c r="AH271" s="691"/>
    </row>
    <row r="272" spans="2:34" ht="15" x14ac:dyDescent="0.25">
      <c r="B272" s="684" t="s">
        <v>473</v>
      </c>
      <c r="C272" s="679">
        <v>13700</v>
      </c>
      <c r="D272" s="679">
        <v>14600</v>
      </c>
      <c r="E272" s="679">
        <v>14950</v>
      </c>
      <c r="F272" s="679">
        <v>15900</v>
      </c>
      <c r="G272" s="679">
        <v>16300</v>
      </c>
      <c r="H272" s="679">
        <v>16300</v>
      </c>
      <c r="I272" s="679">
        <v>17550</v>
      </c>
      <c r="J272" s="679">
        <v>18550</v>
      </c>
      <c r="K272" s="679">
        <v>19650</v>
      </c>
      <c r="L272" s="544">
        <v>19900</v>
      </c>
      <c r="M272" s="544">
        <v>21300</v>
      </c>
      <c r="N272" s="544">
        <v>22500</v>
      </c>
      <c r="O272" s="544">
        <v>22900</v>
      </c>
      <c r="P272" s="544">
        <v>24150</v>
      </c>
      <c r="Q272" s="544">
        <v>24850</v>
      </c>
      <c r="R272" s="544">
        <v>25100</v>
      </c>
      <c r="S272" s="544">
        <v>25700</v>
      </c>
      <c r="T272" s="544">
        <v>25700</v>
      </c>
      <c r="U272" s="544">
        <v>25900</v>
      </c>
      <c r="V272" s="680">
        <v>26850</v>
      </c>
      <c r="W272" s="681">
        <v>27100</v>
      </c>
      <c r="X272" s="682">
        <v>28100</v>
      </c>
      <c r="Y272" s="682">
        <v>28500</v>
      </c>
      <c r="Z272" s="682">
        <v>28500</v>
      </c>
      <c r="AA272" s="682">
        <v>29900</v>
      </c>
      <c r="AB272" s="682">
        <v>30500</v>
      </c>
      <c r="AC272" s="683">
        <v>30250</v>
      </c>
      <c r="AD272" s="683">
        <v>31300</v>
      </c>
      <c r="AE272" s="683">
        <v>34000</v>
      </c>
      <c r="AF272" s="683">
        <v>35000</v>
      </c>
      <c r="AG272" s="691">
        <v>35800</v>
      </c>
      <c r="AH272" s="691"/>
    </row>
    <row r="273" spans="2:34" ht="15" x14ac:dyDescent="0.25">
      <c r="B273" s="684" t="s">
        <v>474</v>
      </c>
      <c r="C273" s="679">
        <v>13700</v>
      </c>
      <c r="D273" s="679">
        <v>14600</v>
      </c>
      <c r="E273" s="679">
        <v>14950</v>
      </c>
      <c r="F273" s="679">
        <v>15900</v>
      </c>
      <c r="G273" s="679">
        <v>16300</v>
      </c>
      <c r="H273" s="679">
        <v>16300</v>
      </c>
      <c r="I273" s="679">
        <v>17550</v>
      </c>
      <c r="J273" s="679">
        <v>18550</v>
      </c>
      <c r="K273" s="679">
        <v>19650</v>
      </c>
      <c r="L273" s="544">
        <v>19900</v>
      </c>
      <c r="M273" s="544">
        <v>21300</v>
      </c>
      <c r="N273" s="544">
        <v>22500</v>
      </c>
      <c r="O273" s="544">
        <v>22900</v>
      </c>
      <c r="P273" s="544">
        <v>24150</v>
      </c>
      <c r="Q273" s="544">
        <v>24850</v>
      </c>
      <c r="R273" s="544">
        <v>25100</v>
      </c>
      <c r="S273" s="544">
        <v>25700</v>
      </c>
      <c r="T273" s="544">
        <v>25700</v>
      </c>
      <c r="U273" s="544">
        <v>25900</v>
      </c>
      <c r="V273" s="680">
        <v>26850</v>
      </c>
      <c r="W273" s="681">
        <v>27100</v>
      </c>
      <c r="X273" s="682">
        <v>28100</v>
      </c>
      <c r="Y273" s="682">
        <v>28500</v>
      </c>
      <c r="Z273" s="682">
        <v>28500</v>
      </c>
      <c r="AA273" s="682">
        <v>29900</v>
      </c>
      <c r="AB273" s="682">
        <v>30500</v>
      </c>
      <c r="AC273" s="683">
        <v>30250</v>
      </c>
      <c r="AD273" s="683">
        <v>31300</v>
      </c>
      <c r="AE273" s="683">
        <v>34000</v>
      </c>
      <c r="AF273" s="683">
        <v>35000</v>
      </c>
      <c r="AG273" s="691">
        <v>35800</v>
      </c>
      <c r="AH273" s="691"/>
    </row>
    <row r="274" spans="2:34" ht="15" x14ac:dyDescent="0.25">
      <c r="B274" s="684" t="s">
        <v>475</v>
      </c>
      <c r="C274" s="679">
        <v>13700</v>
      </c>
      <c r="D274" s="679">
        <v>14600</v>
      </c>
      <c r="E274" s="679">
        <v>15200</v>
      </c>
      <c r="F274" s="679">
        <v>16400</v>
      </c>
      <c r="G274" s="679">
        <v>16300</v>
      </c>
      <c r="H274" s="679">
        <v>16400</v>
      </c>
      <c r="I274" s="679">
        <v>17550</v>
      </c>
      <c r="J274" s="679">
        <v>18550</v>
      </c>
      <c r="K274" s="679">
        <v>19650</v>
      </c>
      <c r="L274" s="544">
        <v>19900</v>
      </c>
      <c r="M274" s="544">
        <v>21300</v>
      </c>
      <c r="N274" s="544">
        <v>22500</v>
      </c>
      <c r="O274" s="544">
        <v>22900</v>
      </c>
      <c r="P274" s="544">
        <v>24150</v>
      </c>
      <c r="Q274" s="544">
        <v>24850</v>
      </c>
      <c r="R274" s="544">
        <v>25100</v>
      </c>
      <c r="S274" s="544">
        <v>25700</v>
      </c>
      <c r="T274" s="544">
        <v>25700</v>
      </c>
      <c r="U274" s="544">
        <v>25900</v>
      </c>
      <c r="V274" s="680">
        <v>26850</v>
      </c>
      <c r="W274" s="681">
        <v>27100</v>
      </c>
      <c r="X274" s="682">
        <v>28350</v>
      </c>
      <c r="Y274" s="682">
        <v>28700</v>
      </c>
      <c r="Z274" s="682">
        <v>30100</v>
      </c>
      <c r="AA274" s="682">
        <v>30600</v>
      </c>
      <c r="AB274" s="682">
        <v>31500</v>
      </c>
      <c r="AC274" s="683">
        <v>31250</v>
      </c>
      <c r="AD274" s="683">
        <v>31700</v>
      </c>
      <c r="AE274" s="683">
        <v>34000</v>
      </c>
      <c r="AF274" s="683">
        <v>35600</v>
      </c>
      <c r="AG274" s="691">
        <v>36750</v>
      </c>
      <c r="AH274" s="691"/>
    </row>
    <row r="275" spans="2:34" ht="15" x14ac:dyDescent="0.25">
      <c r="B275" s="684" t="s">
        <v>476</v>
      </c>
      <c r="C275" s="679">
        <v>13700</v>
      </c>
      <c r="D275" s="679">
        <v>14600</v>
      </c>
      <c r="E275" s="679">
        <v>14950</v>
      </c>
      <c r="F275" s="679">
        <v>15900</v>
      </c>
      <c r="G275" s="679">
        <v>16300</v>
      </c>
      <c r="H275" s="679">
        <v>16300</v>
      </c>
      <c r="I275" s="679">
        <v>17550</v>
      </c>
      <c r="J275" s="679">
        <v>18550</v>
      </c>
      <c r="K275" s="679">
        <v>19650</v>
      </c>
      <c r="L275" s="544">
        <v>19900</v>
      </c>
      <c r="M275" s="544">
        <v>21300</v>
      </c>
      <c r="N275" s="544">
        <v>22500</v>
      </c>
      <c r="O275" s="544">
        <v>22900</v>
      </c>
      <c r="P275" s="544">
        <v>24150</v>
      </c>
      <c r="Q275" s="544">
        <v>24850</v>
      </c>
      <c r="R275" s="544">
        <v>25100</v>
      </c>
      <c r="S275" s="544">
        <v>25700</v>
      </c>
      <c r="T275" s="544">
        <v>25700</v>
      </c>
      <c r="U275" s="544">
        <v>25900</v>
      </c>
      <c r="V275" s="680">
        <v>26850</v>
      </c>
      <c r="W275" s="681">
        <v>27100</v>
      </c>
      <c r="X275" s="682">
        <v>28100</v>
      </c>
      <c r="Y275" s="682">
        <v>28500</v>
      </c>
      <c r="Z275" s="682">
        <v>28500</v>
      </c>
      <c r="AA275" s="682">
        <v>29900</v>
      </c>
      <c r="AB275" s="682">
        <v>30500</v>
      </c>
      <c r="AC275" s="683">
        <v>30250</v>
      </c>
      <c r="AD275" s="683">
        <v>31300</v>
      </c>
      <c r="AE275" s="683">
        <v>34000</v>
      </c>
      <c r="AF275" s="683">
        <v>35000</v>
      </c>
      <c r="AG275" s="691">
        <v>35800</v>
      </c>
      <c r="AH275" s="691"/>
    </row>
    <row r="276" spans="2:34" ht="15" x14ac:dyDescent="0.25">
      <c r="B276" s="684" t="s">
        <v>477</v>
      </c>
      <c r="C276" s="679">
        <v>13700</v>
      </c>
      <c r="D276" s="679">
        <v>14600</v>
      </c>
      <c r="E276" s="679">
        <v>14950</v>
      </c>
      <c r="F276" s="679">
        <v>15900</v>
      </c>
      <c r="G276" s="679">
        <v>16300</v>
      </c>
      <c r="H276" s="679">
        <v>16300</v>
      </c>
      <c r="I276" s="679">
        <v>17550</v>
      </c>
      <c r="J276" s="679">
        <v>18550</v>
      </c>
      <c r="K276" s="679">
        <v>19650</v>
      </c>
      <c r="L276" s="544">
        <v>19900</v>
      </c>
      <c r="M276" s="544">
        <v>21300</v>
      </c>
      <c r="N276" s="544">
        <v>22500</v>
      </c>
      <c r="O276" s="544">
        <v>22900</v>
      </c>
      <c r="P276" s="544">
        <v>24150</v>
      </c>
      <c r="Q276" s="544">
        <v>24850</v>
      </c>
      <c r="R276" s="544">
        <v>25100</v>
      </c>
      <c r="S276" s="544">
        <v>25700</v>
      </c>
      <c r="T276" s="544">
        <v>25700</v>
      </c>
      <c r="U276" s="544">
        <v>25900</v>
      </c>
      <c r="V276" s="680">
        <v>26850</v>
      </c>
      <c r="W276" s="681">
        <v>27100</v>
      </c>
      <c r="X276" s="682">
        <v>28450</v>
      </c>
      <c r="Y276" s="682">
        <v>29850</v>
      </c>
      <c r="Z276" s="682">
        <v>31300</v>
      </c>
      <c r="AA276" s="682">
        <v>30550</v>
      </c>
      <c r="AB276" s="682">
        <v>32350</v>
      </c>
      <c r="AC276" s="683">
        <v>32500</v>
      </c>
      <c r="AD276" s="683">
        <v>31300</v>
      </c>
      <c r="AE276" s="683">
        <v>34000</v>
      </c>
      <c r="AF276" s="683">
        <v>35700</v>
      </c>
      <c r="AG276" s="691">
        <v>37850</v>
      </c>
      <c r="AH276" s="691"/>
    </row>
    <row r="277" spans="2:34" ht="15" x14ac:dyDescent="0.25">
      <c r="B277" s="684" t="s">
        <v>478</v>
      </c>
      <c r="C277" s="679">
        <v>13700</v>
      </c>
      <c r="D277" s="679">
        <v>14600</v>
      </c>
      <c r="E277" s="679">
        <v>14950</v>
      </c>
      <c r="F277" s="679">
        <v>15900</v>
      </c>
      <c r="G277" s="679">
        <v>16300</v>
      </c>
      <c r="H277" s="679">
        <v>16300</v>
      </c>
      <c r="I277" s="679">
        <v>17550</v>
      </c>
      <c r="J277" s="679">
        <v>18550</v>
      </c>
      <c r="K277" s="679">
        <v>19650</v>
      </c>
      <c r="L277" s="544">
        <v>19900</v>
      </c>
      <c r="M277" s="544">
        <v>21300</v>
      </c>
      <c r="N277" s="544">
        <v>22500</v>
      </c>
      <c r="O277" s="544">
        <v>22900</v>
      </c>
      <c r="P277" s="544">
        <v>24150</v>
      </c>
      <c r="Q277" s="544">
        <v>24850</v>
      </c>
      <c r="R277" s="544">
        <v>25100</v>
      </c>
      <c r="S277" s="544">
        <v>25700</v>
      </c>
      <c r="T277" s="544">
        <v>25700</v>
      </c>
      <c r="U277" s="544">
        <v>25900</v>
      </c>
      <c r="V277" s="680">
        <v>26850</v>
      </c>
      <c r="W277" s="681">
        <v>27100</v>
      </c>
      <c r="X277" s="682">
        <v>28100</v>
      </c>
      <c r="Y277" s="682">
        <v>28500</v>
      </c>
      <c r="Z277" s="682">
        <v>28500</v>
      </c>
      <c r="AA277" s="682">
        <v>29900</v>
      </c>
      <c r="AB277" s="682">
        <v>30500</v>
      </c>
      <c r="AC277" s="683">
        <v>30250</v>
      </c>
      <c r="AD277" s="683">
        <v>31300</v>
      </c>
      <c r="AE277" s="683">
        <v>34000</v>
      </c>
      <c r="AF277" s="683">
        <v>35000</v>
      </c>
      <c r="AG277" s="691">
        <v>35800</v>
      </c>
      <c r="AH277" s="691"/>
    </row>
    <row r="278" spans="2:34" ht="15" x14ac:dyDescent="0.25">
      <c r="B278" s="684" t="s">
        <v>479</v>
      </c>
      <c r="C278" s="679">
        <v>13700</v>
      </c>
      <c r="D278" s="679">
        <v>14600</v>
      </c>
      <c r="E278" s="679">
        <v>14950</v>
      </c>
      <c r="F278" s="679">
        <v>15900</v>
      </c>
      <c r="G278" s="679">
        <v>16300</v>
      </c>
      <c r="H278" s="679">
        <v>16300</v>
      </c>
      <c r="I278" s="679">
        <v>17550</v>
      </c>
      <c r="J278" s="679">
        <v>18550</v>
      </c>
      <c r="K278" s="679">
        <v>19650</v>
      </c>
      <c r="L278" s="544">
        <v>19900</v>
      </c>
      <c r="M278" s="544">
        <v>21300</v>
      </c>
      <c r="N278" s="544">
        <v>22500</v>
      </c>
      <c r="O278" s="544">
        <v>22900</v>
      </c>
      <c r="P278" s="544">
        <v>24150</v>
      </c>
      <c r="Q278" s="544">
        <v>24850</v>
      </c>
      <c r="R278" s="544">
        <v>25100</v>
      </c>
      <c r="S278" s="544">
        <v>25700</v>
      </c>
      <c r="T278" s="544">
        <v>25700</v>
      </c>
      <c r="U278" s="544">
        <v>25900</v>
      </c>
      <c r="V278" s="680">
        <v>26850</v>
      </c>
      <c r="W278" s="681">
        <v>27100</v>
      </c>
      <c r="X278" s="682">
        <v>28100</v>
      </c>
      <c r="Y278" s="682">
        <v>28500</v>
      </c>
      <c r="Z278" s="682">
        <v>28500</v>
      </c>
      <c r="AA278" s="682">
        <v>29900</v>
      </c>
      <c r="AB278" s="682">
        <v>30500</v>
      </c>
      <c r="AC278" s="683">
        <v>30250</v>
      </c>
      <c r="AD278" s="683">
        <v>31300</v>
      </c>
      <c r="AE278" s="683">
        <v>34000</v>
      </c>
      <c r="AF278" s="683">
        <v>35000</v>
      </c>
      <c r="AG278" s="691">
        <v>35800</v>
      </c>
      <c r="AH278" s="691"/>
    </row>
    <row r="279" spans="2:34" ht="15" x14ac:dyDescent="0.25">
      <c r="B279" s="684" t="s">
        <v>480</v>
      </c>
      <c r="C279" s="679">
        <v>18600</v>
      </c>
      <c r="D279" s="679">
        <v>19400</v>
      </c>
      <c r="E279" s="679">
        <v>19950</v>
      </c>
      <c r="F279" s="679">
        <v>20750</v>
      </c>
      <c r="G279" s="679">
        <v>21350</v>
      </c>
      <c r="H279" s="679">
        <v>21450</v>
      </c>
      <c r="I279" s="679">
        <v>22950</v>
      </c>
      <c r="J279" s="679">
        <v>23750</v>
      </c>
      <c r="K279" s="679">
        <v>24150</v>
      </c>
      <c r="L279" s="544">
        <v>26800</v>
      </c>
      <c r="M279" s="544">
        <v>28100</v>
      </c>
      <c r="N279" s="544">
        <v>31200</v>
      </c>
      <c r="O279" s="544">
        <v>32200</v>
      </c>
      <c r="P279" s="544">
        <v>32200</v>
      </c>
      <c r="Q279" s="544">
        <v>32200</v>
      </c>
      <c r="R279" s="544">
        <v>32650</v>
      </c>
      <c r="S279" s="544">
        <v>33250</v>
      </c>
      <c r="T279" s="544">
        <v>33250</v>
      </c>
      <c r="U279" s="544">
        <v>33550</v>
      </c>
      <c r="V279" s="680">
        <v>34950</v>
      </c>
      <c r="W279" s="681">
        <v>35150</v>
      </c>
      <c r="X279" s="682">
        <v>35300</v>
      </c>
      <c r="Y279" s="682">
        <v>35750</v>
      </c>
      <c r="Z279" s="682">
        <v>36350</v>
      </c>
      <c r="AA279" s="682">
        <v>36500</v>
      </c>
      <c r="AB279" s="682">
        <v>36400</v>
      </c>
      <c r="AC279" s="683">
        <v>36050</v>
      </c>
      <c r="AD279" s="683">
        <v>37500</v>
      </c>
      <c r="AE279" s="683">
        <v>40800</v>
      </c>
      <c r="AF279" s="683">
        <v>43000</v>
      </c>
      <c r="AG279" s="691">
        <v>43500</v>
      </c>
      <c r="AH279" s="691"/>
    </row>
    <row r="280" spans="2:34" ht="15" x14ac:dyDescent="0.25">
      <c r="B280" s="684" t="s">
        <v>481</v>
      </c>
      <c r="C280" s="679">
        <v>13700</v>
      </c>
      <c r="D280" s="679">
        <v>14600</v>
      </c>
      <c r="E280" s="679">
        <v>14950</v>
      </c>
      <c r="F280" s="679">
        <v>15900</v>
      </c>
      <c r="G280" s="679">
        <v>16300</v>
      </c>
      <c r="H280" s="679">
        <v>16300</v>
      </c>
      <c r="I280" s="679">
        <v>17550</v>
      </c>
      <c r="J280" s="679">
        <v>18550</v>
      </c>
      <c r="K280" s="679">
        <v>19650</v>
      </c>
      <c r="L280" s="544">
        <v>19900</v>
      </c>
      <c r="M280" s="544">
        <v>21300</v>
      </c>
      <c r="N280" s="544">
        <v>22500</v>
      </c>
      <c r="O280" s="544">
        <v>22900</v>
      </c>
      <c r="P280" s="544">
        <v>24550</v>
      </c>
      <c r="Q280" s="544">
        <v>25250</v>
      </c>
      <c r="R280" s="544">
        <v>26250</v>
      </c>
      <c r="S280" s="544">
        <v>27000</v>
      </c>
      <c r="T280" s="544">
        <v>27000</v>
      </c>
      <c r="U280" s="544">
        <v>27150</v>
      </c>
      <c r="V280" s="680">
        <v>28300</v>
      </c>
      <c r="W280" s="681">
        <v>28550</v>
      </c>
      <c r="X280" s="682">
        <v>29150</v>
      </c>
      <c r="Y280" s="682">
        <v>29550</v>
      </c>
      <c r="Z280" s="682">
        <v>29900</v>
      </c>
      <c r="AA280" s="682">
        <v>30700</v>
      </c>
      <c r="AB280" s="682">
        <v>32500</v>
      </c>
      <c r="AC280" s="683">
        <v>34100</v>
      </c>
      <c r="AD280" s="683">
        <v>36450</v>
      </c>
      <c r="AE280" s="683">
        <v>38250</v>
      </c>
      <c r="AF280" s="683">
        <v>37350</v>
      </c>
      <c r="AG280" s="691">
        <v>37900</v>
      </c>
      <c r="AH280" s="691"/>
    </row>
    <row r="281" spans="2:34" ht="15" x14ac:dyDescent="0.25">
      <c r="B281" s="684" t="s">
        <v>482</v>
      </c>
      <c r="C281" s="679">
        <v>13700</v>
      </c>
      <c r="D281" s="679">
        <v>14600</v>
      </c>
      <c r="E281" s="679">
        <v>14950</v>
      </c>
      <c r="F281" s="679">
        <v>15900</v>
      </c>
      <c r="G281" s="679">
        <v>16300</v>
      </c>
      <c r="H281" s="679">
        <v>16300</v>
      </c>
      <c r="I281" s="679">
        <v>17550</v>
      </c>
      <c r="J281" s="679">
        <v>18550</v>
      </c>
      <c r="K281" s="679">
        <v>19650</v>
      </c>
      <c r="L281" s="544">
        <v>19900</v>
      </c>
      <c r="M281" s="544">
        <v>21300</v>
      </c>
      <c r="N281" s="544">
        <v>22500</v>
      </c>
      <c r="O281" s="544">
        <v>22900</v>
      </c>
      <c r="P281" s="544">
        <v>24150</v>
      </c>
      <c r="Q281" s="544">
        <v>24850</v>
      </c>
      <c r="R281" s="544">
        <v>25100</v>
      </c>
      <c r="S281" s="544">
        <v>25700</v>
      </c>
      <c r="T281" s="544">
        <v>25700</v>
      </c>
      <c r="U281" s="544">
        <v>25900</v>
      </c>
      <c r="V281" s="680">
        <v>26850</v>
      </c>
      <c r="W281" s="681">
        <v>27100</v>
      </c>
      <c r="X281" s="682">
        <v>28100</v>
      </c>
      <c r="Y281" s="682">
        <v>28500</v>
      </c>
      <c r="Z281" s="682">
        <v>28500</v>
      </c>
      <c r="AA281" s="682">
        <v>29900</v>
      </c>
      <c r="AB281" s="682">
        <v>30500</v>
      </c>
      <c r="AC281" s="683">
        <v>30250</v>
      </c>
      <c r="AD281" s="683">
        <v>31300</v>
      </c>
      <c r="AE281" s="683">
        <v>34000</v>
      </c>
      <c r="AF281" s="683">
        <v>35000</v>
      </c>
      <c r="AG281" s="691">
        <v>35800</v>
      </c>
      <c r="AH281" s="691"/>
    </row>
    <row r="282" spans="2:34" ht="15" x14ac:dyDescent="0.25">
      <c r="B282" s="684" t="s">
        <v>483</v>
      </c>
      <c r="C282" s="679">
        <v>13700</v>
      </c>
      <c r="D282" s="679">
        <v>14600</v>
      </c>
      <c r="E282" s="679">
        <v>14950</v>
      </c>
      <c r="F282" s="679">
        <v>15900</v>
      </c>
      <c r="G282" s="679">
        <v>16300</v>
      </c>
      <c r="H282" s="679">
        <v>16300</v>
      </c>
      <c r="I282" s="679">
        <v>17550</v>
      </c>
      <c r="J282" s="679">
        <v>18550</v>
      </c>
      <c r="K282" s="679">
        <v>19650</v>
      </c>
      <c r="L282" s="544">
        <v>19900</v>
      </c>
      <c r="M282" s="544">
        <v>21300</v>
      </c>
      <c r="N282" s="544">
        <v>22500</v>
      </c>
      <c r="O282" s="544">
        <v>22900</v>
      </c>
      <c r="P282" s="544">
        <v>24150</v>
      </c>
      <c r="Q282" s="544">
        <v>24850</v>
      </c>
      <c r="R282" s="544">
        <v>25100</v>
      </c>
      <c r="S282" s="544">
        <v>25700</v>
      </c>
      <c r="T282" s="544">
        <v>25700</v>
      </c>
      <c r="U282" s="544">
        <v>25900</v>
      </c>
      <c r="V282" s="680">
        <v>26850</v>
      </c>
      <c r="W282" s="681">
        <v>27100</v>
      </c>
      <c r="X282" s="682">
        <v>28450</v>
      </c>
      <c r="Y282" s="682">
        <v>29850</v>
      </c>
      <c r="Z282" s="682">
        <v>28500</v>
      </c>
      <c r="AA282" s="682">
        <v>29900</v>
      </c>
      <c r="AB282" s="682">
        <v>30500</v>
      </c>
      <c r="AC282" s="683">
        <v>30250</v>
      </c>
      <c r="AD282" s="683">
        <v>31300</v>
      </c>
      <c r="AE282" s="683">
        <v>34000</v>
      </c>
      <c r="AF282" s="683">
        <v>35000</v>
      </c>
      <c r="AG282" s="691">
        <v>35800</v>
      </c>
      <c r="AH282" s="691"/>
    </row>
    <row r="283" spans="2:34" ht="15" x14ac:dyDescent="0.25">
      <c r="B283" s="684" t="s">
        <v>484</v>
      </c>
      <c r="C283" s="679">
        <v>15050</v>
      </c>
      <c r="D283" s="679">
        <v>15850</v>
      </c>
      <c r="E283" s="679">
        <v>16000</v>
      </c>
      <c r="F283" s="679">
        <v>17600</v>
      </c>
      <c r="G283" s="679">
        <v>17600</v>
      </c>
      <c r="H283" s="679">
        <v>18350</v>
      </c>
      <c r="I283" s="679">
        <v>18350</v>
      </c>
      <c r="J283" s="679">
        <v>18550</v>
      </c>
      <c r="K283" s="679">
        <v>19650</v>
      </c>
      <c r="L283" s="544">
        <v>19900</v>
      </c>
      <c r="M283" s="544">
        <v>21300</v>
      </c>
      <c r="N283" s="544">
        <v>27600</v>
      </c>
      <c r="O283" s="544">
        <v>27950</v>
      </c>
      <c r="P283" s="544">
        <v>27950</v>
      </c>
      <c r="Q283" s="544">
        <v>27950</v>
      </c>
      <c r="R283" s="544">
        <v>27950</v>
      </c>
      <c r="S283" s="544">
        <v>28050</v>
      </c>
      <c r="T283" s="544">
        <v>28050</v>
      </c>
      <c r="U283" s="544">
        <v>28100</v>
      </c>
      <c r="V283" s="680">
        <v>28850</v>
      </c>
      <c r="W283" s="681">
        <v>29150</v>
      </c>
      <c r="X283" s="682">
        <v>30600</v>
      </c>
      <c r="Y283" s="682">
        <v>31300</v>
      </c>
      <c r="Z283" s="682">
        <v>31400</v>
      </c>
      <c r="AA283" s="682">
        <v>31350</v>
      </c>
      <c r="AB283" s="682">
        <v>30500</v>
      </c>
      <c r="AC283" s="683">
        <v>32000</v>
      </c>
      <c r="AD283" s="683">
        <v>33700</v>
      </c>
      <c r="AE283" s="683">
        <v>34650</v>
      </c>
      <c r="AF283" s="683">
        <v>36050</v>
      </c>
      <c r="AG283" s="691">
        <v>37600</v>
      </c>
      <c r="AH283" s="691"/>
    </row>
    <row r="284" spans="2:34" ht="15" x14ac:dyDescent="0.25">
      <c r="B284" s="684" t="s">
        <v>485</v>
      </c>
      <c r="C284" s="679">
        <v>16850</v>
      </c>
      <c r="D284" s="679">
        <v>17300</v>
      </c>
      <c r="E284" s="679">
        <v>17950</v>
      </c>
      <c r="F284" s="679">
        <v>18800</v>
      </c>
      <c r="G284" s="679">
        <v>19150</v>
      </c>
      <c r="H284" s="679">
        <v>19150</v>
      </c>
      <c r="I284" s="679">
        <v>21000</v>
      </c>
      <c r="J284" s="679">
        <v>22200</v>
      </c>
      <c r="K284" s="679">
        <v>22350</v>
      </c>
      <c r="L284" s="544">
        <v>23050</v>
      </c>
      <c r="M284" s="544">
        <v>24150</v>
      </c>
      <c r="N284" s="544">
        <v>24500</v>
      </c>
      <c r="O284" s="544">
        <v>25500</v>
      </c>
      <c r="P284" s="544">
        <v>25700</v>
      </c>
      <c r="Q284" s="544">
        <v>27100</v>
      </c>
      <c r="R284" s="544">
        <v>27100</v>
      </c>
      <c r="S284" s="544">
        <v>27100</v>
      </c>
      <c r="T284" s="544">
        <v>27950</v>
      </c>
      <c r="U284" s="544">
        <v>29000</v>
      </c>
      <c r="V284" s="680">
        <v>29750</v>
      </c>
      <c r="W284" s="681">
        <v>30150</v>
      </c>
      <c r="X284" s="682">
        <v>30500</v>
      </c>
      <c r="Y284" s="682">
        <v>30950</v>
      </c>
      <c r="Z284" s="682">
        <v>31450</v>
      </c>
      <c r="AA284" s="682">
        <v>29900</v>
      </c>
      <c r="AB284" s="682">
        <v>29700</v>
      </c>
      <c r="AC284" s="683">
        <v>30800</v>
      </c>
      <c r="AD284" s="683">
        <v>30950</v>
      </c>
      <c r="AE284" s="683">
        <v>32500</v>
      </c>
      <c r="AF284" s="683">
        <v>32850</v>
      </c>
      <c r="AG284" s="691">
        <v>34550</v>
      </c>
      <c r="AH284" s="691"/>
    </row>
    <row r="285" spans="2:34" ht="15" x14ac:dyDescent="0.25">
      <c r="B285" s="684" t="s">
        <v>486</v>
      </c>
      <c r="C285" s="679">
        <v>19750</v>
      </c>
      <c r="D285" s="679">
        <v>19000</v>
      </c>
      <c r="E285" s="679">
        <v>19950</v>
      </c>
      <c r="F285" s="679">
        <v>22000</v>
      </c>
      <c r="G285" s="679">
        <v>23000</v>
      </c>
      <c r="H285" s="679">
        <v>23000</v>
      </c>
      <c r="I285" s="679">
        <v>25300</v>
      </c>
      <c r="J285" s="679">
        <v>26650</v>
      </c>
      <c r="K285" s="679">
        <v>27350</v>
      </c>
      <c r="L285" s="544">
        <v>28400</v>
      </c>
      <c r="M285" s="544">
        <v>29650</v>
      </c>
      <c r="N285" s="544">
        <v>30350</v>
      </c>
      <c r="O285" s="544">
        <v>31550</v>
      </c>
      <c r="P285" s="544">
        <v>31550</v>
      </c>
      <c r="Q285" s="544">
        <v>33000</v>
      </c>
      <c r="R285" s="544">
        <v>33000</v>
      </c>
      <c r="S285" s="544">
        <v>33000</v>
      </c>
      <c r="T285" s="544">
        <v>33000</v>
      </c>
      <c r="U285" s="544">
        <v>33000</v>
      </c>
      <c r="V285" s="680">
        <v>33000</v>
      </c>
      <c r="W285" s="681">
        <v>33450</v>
      </c>
      <c r="X285" s="682">
        <v>33900</v>
      </c>
      <c r="Y285" s="682">
        <v>34350</v>
      </c>
      <c r="Z285" s="682">
        <v>32650</v>
      </c>
      <c r="AA285" s="682">
        <v>32650</v>
      </c>
      <c r="AB285" s="682">
        <v>31200</v>
      </c>
      <c r="AC285" s="683">
        <v>32300</v>
      </c>
      <c r="AD285" s="683">
        <v>31100</v>
      </c>
      <c r="AE285" s="683">
        <v>34650</v>
      </c>
      <c r="AF285" s="683">
        <v>36600</v>
      </c>
      <c r="AG285" s="691">
        <v>38000</v>
      </c>
      <c r="AH285" s="691"/>
    </row>
    <row r="286" spans="2:34" ht="15" x14ac:dyDescent="0.25">
      <c r="B286" s="684" t="s">
        <v>487</v>
      </c>
      <c r="C286" s="679">
        <v>14750</v>
      </c>
      <c r="D286" s="679">
        <v>15300</v>
      </c>
      <c r="E286" s="679">
        <v>15700</v>
      </c>
      <c r="F286" s="679">
        <v>15900</v>
      </c>
      <c r="G286" s="679">
        <v>16550</v>
      </c>
      <c r="H286" s="679">
        <v>16550</v>
      </c>
      <c r="I286" s="679">
        <v>17450</v>
      </c>
      <c r="J286" s="679">
        <v>18550</v>
      </c>
      <c r="K286" s="679">
        <v>19350</v>
      </c>
      <c r="L286" s="544">
        <v>19800</v>
      </c>
      <c r="M286" s="544">
        <v>20150</v>
      </c>
      <c r="N286" s="544">
        <v>22200</v>
      </c>
      <c r="O286" s="544">
        <v>22500</v>
      </c>
      <c r="P286" s="544">
        <v>25200</v>
      </c>
      <c r="Q286" s="544">
        <v>26150</v>
      </c>
      <c r="R286" s="544">
        <v>26300</v>
      </c>
      <c r="S286" s="544">
        <v>27700</v>
      </c>
      <c r="T286" s="544">
        <v>27700</v>
      </c>
      <c r="U286" s="544">
        <v>28250</v>
      </c>
      <c r="V286" s="680">
        <v>29500</v>
      </c>
      <c r="W286" s="681">
        <v>29900</v>
      </c>
      <c r="X286" s="682">
        <v>31350</v>
      </c>
      <c r="Y286" s="682">
        <v>31900</v>
      </c>
      <c r="Z286" s="682">
        <v>32400</v>
      </c>
      <c r="AA286" s="682">
        <v>33250</v>
      </c>
      <c r="AB286" s="682">
        <v>35200</v>
      </c>
      <c r="AC286" s="683">
        <v>36750</v>
      </c>
      <c r="AD286" s="683">
        <v>39300</v>
      </c>
      <c r="AE286" s="683">
        <v>41450</v>
      </c>
      <c r="AF286" s="683">
        <v>40950</v>
      </c>
      <c r="AG286" s="691">
        <v>42950</v>
      </c>
      <c r="AH286" s="691"/>
    </row>
    <row r="287" spans="2:34" ht="15" x14ac:dyDescent="0.25">
      <c r="B287" s="684" t="s">
        <v>488</v>
      </c>
      <c r="C287" s="679">
        <v>12600</v>
      </c>
      <c r="D287" s="679">
        <v>13100</v>
      </c>
      <c r="E287" s="679">
        <v>13200</v>
      </c>
      <c r="F287" s="679">
        <v>13850</v>
      </c>
      <c r="G287" s="679">
        <v>14100</v>
      </c>
      <c r="H287" s="679">
        <v>14100</v>
      </c>
      <c r="I287" s="679">
        <v>14300</v>
      </c>
      <c r="J287" s="679">
        <v>15400</v>
      </c>
      <c r="K287" s="679">
        <v>15550</v>
      </c>
      <c r="L287" s="544">
        <v>16350</v>
      </c>
      <c r="M287" s="544">
        <v>16650</v>
      </c>
      <c r="N287" s="544">
        <v>17000</v>
      </c>
      <c r="O287" s="544">
        <v>17100</v>
      </c>
      <c r="P287" s="544">
        <v>19700</v>
      </c>
      <c r="Q287" s="544">
        <v>20500</v>
      </c>
      <c r="R287" s="544">
        <v>20550</v>
      </c>
      <c r="S287" s="544">
        <v>21300</v>
      </c>
      <c r="T287" s="544">
        <v>21300</v>
      </c>
      <c r="U287" s="544">
        <v>22000</v>
      </c>
      <c r="V287" s="680">
        <v>23200</v>
      </c>
      <c r="W287" s="681">
        <v>23600</v>
      </c>
      <c r="X287" s="682">
        <v>24400</v>
      </c>
      <c r="Y287" s="682">
        <v>24750</v>
      </c>
      <c r="Z287" s="682">
        <v>24950</v>
      </c>
      <c r="AA287" s="682">
        <v>25200</v>
      </c>
      <c r="AB287" s="682">
        <v>25650</v>
      </c>
      <c r="AC287" s="683">
        <v>26250</v>
      </c>
      <c r="AD287" s="683">
        <v>26950</v>
      </c>
      <c r="AE287" s="683">
        <v>28350</v>
      </c>
      <c r="AF287" s="683">
        <v>28500</v>
      </c>
      <c r="AG287" s="691">
        <v>28600</v>
      </c>
      <c r="AH287" s="691"/>
    </row>
    <row r="288" spans="2:34" ht="15" x14ac:dyDescent="0.25">
      <c r="B288" s="684" t="s">
        <v>489</v>
      </c>
      <c r="C288" s="679">
        <v>13450</v>
      </c>
      <c r="D288" s="679">
        <v>13900</v>
      </c>
      <c r="E288" s="679">
        <v>13900</v>
      </c>
      <c r="F288" s="679">
        <v>13900</v>
      </c>
      <c r="G288" s="679">
        <v>14100</v>
      </c>
      <c r="H288" s="679">
        <v>14100</v>
      </c>
      <c r="I288" s="679">
        <v>14300</v>
      </c>
      <c r="J288" s="679">
        <v>15400</v>
      </c>
      <c r="K288" s="679">
        <v>15550</v>
      </c>
      <c r="L288" s="544">
        <v>16350</v>
      </c>
      <c r="M288" s="544">
        <v>16650</v>
      </c>
      <c r="N288" s="544">
        <v>17000</v>
      </c>
      <c r="O288" s="544">
        <v>17100</v>
      </c>
      <c r="P288" s="544">
        <v>19700</v>
      </c>
      <c r="Q288" s="544">
        <v>20750</v>
      </c>
      <c r="R288" s="544">
        <v>20750</v>
      </c>
      <c r="S288" s="544">
        <v>21300</v>
      </c>
      <c r="T288" s="544">
        <v>21300</v>
      </c>
      <c r="U288" s="544">
        <v>22000</v>
      </c>
      <c r="V288" s="680">
        <v>23200</v>
      </c>
      <c r="W288" s="681">
        <v>23600</v>
      </c>
      <c r="X288" s="682">
        <v>24750</v>
      </c>
      <c r="Y288" s="682">
        <v>25950</v>
      </c>
      <c r="Z288" s="682">
        <v>27200</v>
      </c>
      <c r="AA288" s="682">
        <v>28550</v>
      </c>
      <c r="AB288" s="682">
        <v>29650</v>
      </c>
      <c r="AC288" s="683">
        <v>29550</v>
      </c>
      <c r="AD288" s="683">
        <v>30900</v>
      </c>
      <c r="AE288" s="683">
        <v>32000</v>
      </c>
      <c r="AF288" s="683">
        <v>33150</v>
      </c>
      <c r="AG288" s="691">
        <v>35750</v>
      </c>
      <c r="AH288" s="691"/>
    </row>
    <row r="289" spans="2:34" ht="15" x14ac:dyDescent="0.25">
      <c r="B289" s="684" t="s">
        <v>490</v>
      </c>
      <c r="C289" s="679">
        <v>12600</v>
      </c>
      <c r="D289" s="679">
        <v>13100</v>
      </c>
      <c r="E289" s="679">
        <v>13200</v>
      </c>
      <c r="F289" s="679">
        <v>13850</v>
      </c>
      <c r="G289" s="679">
        <v>14100</v>
      </c>
      <c r="H289" s="679">
        <v>14100</v>
      </c>
      <c r="I289" s="679">
        <v>14300</v>
      </c>
      <c r="J289" s="679">
        <v>15400</v>
      </c>
      <c r="K289" s="679">
        <v>15550</v>
      </c>
      <c r="L289" s="544">
        <v>16350</v>
      </c>
      <c r="M289" s="544">
        <v>16650</v>
      </c>
      <c r="N289" s="544">
        <v>17000</v>
      </c>
      <c r="O289" s="544">
        <v>17100</v>
      </c>
      <c r="P289" s="544">
        <v>19700</v>
      </c>
      <c r="Q289" s="544">
        <v>20500</v>
      </c>
      <c r="R289" s="544">
        <v>20550</v>
      </c>
      <c r="S289" s="544">
        <v>21300</v>
      </c>
      <c r="T289" s="544">
        <v>21300</v>
      </c>
      <c r="U289" s="544">
        <v>22000</v>
      </c>
      <c r="V289" s="680">
        <v>23200</v>
      </c>
      <c r="W289" s="681">
        <v>23600</v>
      </c>
      <c r="X289" s="682">
        <v>24400</v>
      </c>
      <c r="Y289" s="682">
        <v>24750</v>
      </c>
      <c r="Z289" s="682">
        <v>24950</v>
      </c>
      <c r="AA289" s="682">
        <v>25200</v>
      </c>
      <c r="AB289" s="682">
        <v>25650</v>
      </c>
      <c r="AC289" s="683">
        <v>26250</v>
      </c>
      <c r="AD289" s="683">
        <v>26950</v>
      </c>
      <c r="AE289" s="683">
        <v>28350</v>
      </c>
      <c r="AF289" s="683">
        <v>28500</v>
      </c>
      <c r="AG289" s="691">
        <v>28600</v>
      </c>
      <c r="AH289" s="691"/>
    </row>
    <row r="290" spans="2:34" ht="15" x14ac:dyDescent="0.25">
      <c r="B290" s="684" t="s">
        <v>491</v>
      </c>
      <c r="C290" s="679">
        <v>14250</v>
      </c>
      <c r="D290" s="679">
        <v>14750</v>
      </c>
      <c r="E290" s="679">
        <v>14750</v>
      </c>
      <c r="F290" s="679">
        <v>17100</v>
      </c>
      <c r="G290" s="679">
        <v>14800</v>
      </c>
      <c r="H290" s="679">
        <v>15000</v>
      </c>
      <c r="I290" s="679">
        <v>16250</v>
      </c>
      <c r="J290" s="679">
        <v>16400</v>
      </c>
      <c r="K290" s="679">
        <v>16750</v>
      </c>
      <c r="L290" s="544">
        <v>17000</v>
      </c>
      <c r="M290" s="544">
        <v>17000</v>
      </c>
      <c r="N290" s="544">
        <v>20150</v>
      </c>
      <c r="O290" s="544">
        <v>20150</v>
      </c>
      <c r="P290" s="544">
        <v>23050</v>
      </c>
      <c r="Q290" s="544">
        <v>23150</v>
      </c>
      <c r="R290" s="544">
        <v>23900</v>
      </c>
      <c r="S290" s="544">
        <v>24500</v>
      </c>
      <c r="T290" s="544">
        <v>24500</v>
      </c>
      <c r="U290" s="544">
        <v>25400</v>
      </c>
      <c r="V290" s="680">
        <v>27100</v>
      </c>
      <c r="W290" s="681">
        <v>27600</v>
      </c>
      <c r="X290" s="682">
        <v>28100</v>
      </c>
      <c r="Y290" s="682">
        <v>28450</v>
      </c>
      <c r="Z290" s="682">
        <v>29600</v>
      </c>
      <c r="AA290" s="682">
        <v>28350</v>
      </c>
      <c r="AB290" s="682">
        <v>30000</v>
      </c>
      <c r="AC290" s="683">
        <v>31050</v>
      </c>
      <c r="AD290" s="683">
        <v>31450</v>
      </c>
      <c r="AE290" s="683">
        <v>32600</v>
      </c>
      <c r="AF290" s="683">
        <v>32750</v>
      </c>
      <c r="AG290" s="691">
        <v>32050</v>
      </c>
      <c r="AH290" s="691"/>
    </row>
    <row r="291" spans="2:34" ht="15" x14ac:dyDescent="0.25">
      <c r="B291" s="684" t="s">
        <v>492</v>
      </c>
      <c r="C291" s="679">
        <v>15050</v>
      </c>
      <c r="D291" s="679">
        <v>15250</v>
      </c>
      <c r="E291" s="679">
        <v>15250</v>
      </c>
      <c r="F291" s="679">
        <v>13850</v>
      </c>
      <c r="G291" s="679">
        <v>14100</v>
      </c>
      <c r="H291" s="679">
        <v>14400</v>
      </c>
      <c r="I291" s="679">
        <v>14700</v>
      </c>
      <c r="J291" s="679">
        <v>16150</v>
      </c>
      <c r="K291" s="679">
        <v>16350</v>
      </c>
      <c r="L291" s="544">
        <v>17000</v>
      </c>
      <c r="M291" s="544">
        <v>17000</v>
      </c>
      <c r="N291" s="544">
        <v>18200</v>
      </c>
      <c r="O291" s="544">
        <v>18200</v>
      </c>
      <c r="P291" s="544">
        <v>20300</v>
      </c>
      <c r="Q291" s="544">
        <v>21500</v>
      </c>
      <c r="R291" s="544">
        <v>21500</v>
      </c>
      <c r="S291" s="544">
        <v>21500</v>
      </c>
      <c r="T291" s="544">
        <v>21500</v>
      </c>
      <c r="U291" s="544">
        <v>22200</v>
      </c>
      <c r="V291" s="680">
        <v>23200</v>
      </c>
      <c r="W291" s="681">
        <v>23600</v>
      </c>
      <c r="X291" s="682">
        <v>24750</v>
      </c>
      <c r="Y291" s="682">
        <v>25950</v>
      </c>
      <c r="Z291" s="682">
        <v>27200</v>
      </c>
      <c r="AA291" s="682">
        <v>28550</v>
      </c>
      <c r="AB291" s="682">
        <v>30200</v>
      </c>
      <c r="AC291" s="683">
        <v>31250</v>
      </c>
      <c r="AD291" s="683">
        <v>33300</v>
      </c>
      <c r="AE291" s="683">
        <v>33850</v>
      </c>
      <c r="AF291" s="683">
        <v>32850</v>
      </c>
      <c r="AG291" s="691">
        <v>33100</v>
      </c>
      <c r="AH291" s="691"/>
    </row>
    <row r="292" spans="2:34" ht="15" x14ac:dyDescent="0.25">
      <c r="B292" s="684" t="s">
        <v>493</v>
      </c>
      <c r="C292" s="679">
        <v>12900</v>
      </c>
      <c r="D292" s="679">
        <v>13350</v>
      </c>
      <c r="E292" s="679">
        <v>13350</v>
      </c>
      <c r="F292" s="679">
        <v>13850</v>
      </c>
      <c r="G292" s="679">
        <v>14100</v>
      </c>
      <c r="H292" s="679">
        <v>14100</v>
      </c>
      <c r="I292" s="679">
        <v>14300</v>
      </c>
      <c r="J292" s="679">
        <v>15400</v>
      </c>
      <c r="K292" s="679">
        <v>15550</v>
      </c>
      <c r="L292" s="544">
        <v>16350</v>
      </c>
      <c r="M292" s="544">
        <v>16650</v>
      </c>
      <c r="N292" s="544">
        <v>17000</v>
      </c>
      <c r="O292" s="544">
        <v>17100</v>
      </c>
      <c r="P292" s="544">
        <v>19700</v>
      </c>
      <c r="Q292" s="544">
        <v>20500</v>
      </c>
      <c r="R292" s="544">
        <v>20550</v>
      </c>
      <c r="S292" s="544">
        <v>21300</v>
      </c>
      <c r="T292" s="544">
        <v>21300</v>
      </c>
      <c r="U292" s="544">
        <v>22000</v>
      </c>
      <c r="V292" s="680">
        <v>23200</v>
      </c>
      <c r="W292" s="681">
        <v>23600</v>
      </c>
      <c r="X292" s="682">
        <v>24750</v>
      </c>
      <c r="Y292" s="682">
        <v>25950</v>
      </c>
      <c r="Z292" s="682">
        <v>27200</v>
      </c>
      <c r="AA292" s="682">
        <v>25850</v>
      </c>
      <c r="AB292" s="682">
        <v>26050</v>
      </c>
      <c r="AC292" s="683">
        <v>26450</v>
      </c>
      <c r="AD292" s="683">
        <v>27600</v>
      </c>
      <c r="AE292" s="683">
        <v>28350</v>
      </c>
      <c r="AF292" s="683">
        <v>29350</v>
      </c>
      <c r="AG292" s="691">
        <v>31200</v>
      </c>
      <c r="AH292" s="691"/>
    </row>
    <row r="293" spans="2:34" ht="15" x14ac:dyDescent="0.25">
      <c r="B293" s="684" t="s">
        <v>494</v>
      </c>
      <c r="C293" s="679">
        <v>12600</v>
      </c>
      <c r="D293" s="679">
        <v>13100</v>
      </c>
      <c r="E293" s="679">
        <v>13200</v>
      </c>
      <c r="F293" s="679">
        <v>13850</v>
      </c>
      <c r="G293" s="679">
        <v>14100</v>
      </c>
      <c r="H293" s="679">
        <v>14100</v>
      </c>
      <c r="I293" s="679">
        <v>14300</v>
      </c>
      <c r="J293" s="679">
        <v>15400</v>
      </c>
      <c r="K293" s="679">
        <v>15550</v>
      </c>
      <c r="L293" s="544">
        <v>16350</v>
      </c>
      <c r="M293" s="544">
        <v>16650</v>
      </c>
      <c r="N293" s="544">
        <v>17000</v>
      </c>
      <c r="O293" s="544">
        <v>17100</v>
      </c>
      <c r="P293" s="544">
        <v>19700</v>
      </c>
      <c r="Q293" s="544">
        <v>20500</v>
      </c>
      <c r="R293" s="544">
        <v>20550</v>
      </c>
      <c r="S293" s="544">
        <v>21300</v>
      </c>
      <c r="T293" s="544">
        <v>21300</v>
      </c>
      <c r="U293" s="544">
        <v>22000</v>
      </c>
      <c r="V293" s="680">
        <v>23200</v>
      </c>
      <c r="W293" s="681">
        <v>23600</v>
      </c>
      <c r="X293" s="682">
        <v>24400</v>
      </c>
      <c r="Y293" s="682">
        <v>24750</v>
      </c>
      <c r="Z293" s="682">
        <v>24950</v>
      </c>
      <c r="AA293" s="682">
        <v>25200</v>
      </c>
      <c r="AB293" s="682">
        <v>25650</v>
      </c>
      <c r="AC293" s="683">
        <v>26250</v>
      </c>
      <c r="AD293" s="683">
        <v>26950</v>
      </c>
      <c r="AE293" s="683">
        <v>28350</v>
      </c>
      <c r="AF293" s="683">
        <v>28500</v>
      </c>
      <c r="AG293" s="691">
        <v>28600</v>
      </c>
      <c r="AH293" s="691"/>
    </row>
    <row r="294" spans="2:34" ht="15" x14ac:dyDescent="0.25">
      <c r="B294" s="684" t="s">
        <v>495</v>
      </c>
      <c r="C294" s="679">
        <v>12600</v>
      </c>
      <c r="D294" s="679">
        <v>13100</v>
      </c>
      <c r="E294" s="679">
        <v>13200</v>
      </c>
      <c r="F294" s="679">
        <v>13850</v>
      </c>
      <c r="G294" s="679">
        <v>14100</v>
      </c>
      <c r="H294" s="679">
        <v>14100</v>
      </c>
      <c r="I294" s="679">
        <v>14300</v>
      </c>
      <c r="J294" s="679">
        <v>15400</v>
      </c>
      <c r="K294" s="679">
        <v>15550</v>
      </c>
      <c r="L294" s="544">
        <v>16350</v>
      </c>
      <c r="M294" s="544">
        <v>16650</v>
      </c>
      <c r="N294" s="544">
        <v>17000</v>
      </c>
      <c r="O294" s="544">
        <v>17100</v>
      </c>
      <c r="P294" s="544">
        <v>19700</v>
      </c>
      <c r="Q294" s="544">
        <v>20500</v>
      </c>
      <c r="R294" s="544">
        <v>20550</v>
      </c>
      <c r="S294" s="544">
        <v>21300</v>
      </c>
      <c r="T294" s="544">
        <v>21300</v>
      </c>
      <c r="U294" s="544">
        <v>22000</v>
      </c>
      <c r="V294" s="680">
        <v>23200</v>
      </c>
      <c r="W294" s="681">
        <v>23600</v>
      </c>
      <c r="X294" s="682">
        <v>24400</v>
      </c>
      <c r="Y294" s="682">
        <v>24750</v>
      </c>
      <c r="Z294" s="682">
        <v>24950</v>
      </c>
      <c r="AA294" s="682">
        <v>25200</v>
      </c>
      <c r="AB294" s="682">
        <v>25650</v>
      </c>
      <c r="AC294" s="683">
        <v>26250</v>
      </c>
      <c r="AD294" s="683">
        <v>26950</v>
      </c>
      <c r="AE294" s="683">
        <v>28350</v>
      </c>
      <c r="AF294" s="683">
        <v>28500</v>
      </c>
      <c r="AG294" s="691">
        <v>28600</v>
      </c>
      <c r="AH294" s="691"/>
    </row>
    <row r="295" spans="2:34" ht="15" x14ac:dyDescent="0.25">
      <c r="B295" s="684" t="s">
        <v>496</v>
      </c>
      <c r="C295" s="679">
        <v>17000</v>
      </c>
      <c r="D295" s="679">
        <v>17250</v>
      </c>
      <c r="E295" s="679">
        <v>17250</v>
      </c>
      <c r="F295" s="679">
        <v>18650</v>
      </c>
      <c r="G295" s="679">
        <v>18650</v>
      </c>
      <c r="H295" s="679">
        <v>18700</v>
      </c>
      <c r="I295" s="679">
        <v>19150</v>
      </c>
      <c r="J295" s="679">
        <v>20400</v>
      </c>
      <c r="K295" s="679">
        <v>20650</v>
      </c>
      <c r="L295" s="544">
        <v>21650</v>
      </c>
      <c r="M295" s="544">
        <v>22050</v>
      </c>
      <c r="N295" s="544">
        <v>22700</v>
      </c>
      <c r="O295" s="544">
        <v>23000</v>
      </c>
      <c r="P295" s="544">
        <v>25550</v>
      </c>
      <c r="Q295" s="544">
        <v>26050</v>
      </c>
      <c r="R295" s="544">
        <v>26300</v>
      </c>
      <c r="S295" s="544">
        <v>26950</v>
      </c>
      <c r="T295" s="544">
        <v>26950</v>
      </c>
      <c r="U295" s="544">
        <v>27650</v>
      </c>
      <c r="V295" s="680">
        <v>29250</v>
      </c>
      <c r="W295" s="681">
        <v>29700</v>
      </c>
      <c r="X295" s="682">
        <v>30300</v>
      </c>
      <c r="Y295" s="682">
        <v>30750</v>
      </c>
      <c r="Z295" s="682">
        <v>30000</v>
      </c>
      <c r="AA295" s="682">
        <v>30700</v>
      </c>
      <c r="AB295" s="682">
        <v>32250</v>
      </c>
      <c r="AC295" s="683">
        <v>32200</v>
      </c>
      <c r="AD295" s="683">
        <v>33650</v>
      </c>
      <c r="AE295" s="683">
        <v>34700</v>
      </c>
      <c r="AF295" s="683">
        <v>36900</v>
      </c>
      <c r="AG295" s="691">
        <v>37200</v>
      </c>
      <c r="AH295" s="691"/>
    </row>
    <row r="296" spans="2:34" ht="15" x14ac:dyDescent="0.25">
      <c r="B296" s="684" t="s">
        <v>497</v>
      </c>
      <c r="C296" s="679">
        <v>13800</v>
      </c>
      <c r="D296" s="679">
        <v>14300</v>
      </c>
      <c r="E296" s="679">
        <v>14300</v>
      </c>
      <c r="F296" s="679">
        <v>15550</v>
      </c>
      <c r="G296" s="679">
        <v>15550</v>
      </c>
      <c r="H296" s="679">
        <v>15550</v>
      </c>
      <c r="I296" s="679">
        <v>16150</v>
      </c>
      <c r="J296" s="679">
        <v>16550</v>
      </c>
      <c r="K296" s="679">
        <v>16900</v>
      </c>
      <c r="L296" s="544">
        <v>17150</v>
      </c>
      <c r="M296" s="544">
        <v>17150</v>
      </c>
      <c r="N296" s="544">
        <v>18950</v>
      </c>
      <c r="O296" s="544">
        <v>18950</v>
      </c>
      <c r="P296" s="544">
        <v>20250</v>
      </c>
      <c r="Q296" s="544">
        <v>21150</v>
      </c>
      <c r="R296" s="544">
        <v>21400</v>
      </c>
      <c r="S296" s="544">
        <v>21950</v>
      </c>
      <c r="T296" s="544">
        <v>21950</v>
      </c>
      <c r="U296" s="544">
        <v>22550</v>
      </c>
      <c r="V296" s="680">
        <v>23850</v>
      </c>
      <c r="W296" s="681">
        <v>24500</v>
      </c>
      <c r="X296" s="682">
        <v>25100</v>
      </c>
      <c r="Y296" s="682">
        <v>25400</v>
      </c>
      <c r="Z296" s="682">
        <v>26400</v>
      </c>
      <c r="AA296" s="682">
        <v>25250</v>
      </c>
      <c r="AB296" s="682">
        <v>26750</v>
      </c>
      <c r="AC296" s="683">
        <v>26900</v>
      </c>
      <c r="AD296" s="683">
        <v>28750</v>
      </c>
      <c r="AE296" s="683">
        <v>29950</v>
      </c>
      <c r="AF296" s="683">
        <v>31400</v>
      </c>
      <c r="AG296" s="691">
        <v>31350</v>
      </c>
      <c r="AH296" s="691"/>
    </row>
    <row r="297" spans="2:34" ht="15" x14ac:dyDescent="0.25">
      <c r="B297" s="684" t="s">
        <v>498</v>
      </c>
      <c r="C297" s="679">
        <v>12600</v>
      </c>
      <c r="D297" s="679">
        <v>13100</v>
      </c>
      <c r="E297" s="679">
        <v>13200</v>
      </c>
      <c r="F297" s="679">
        <v>13850</v>
      </c>
      <c r="G297" s="679">
        <v>14100</v>
      </c>
      <c r="H297" s="679">
        <v>14100</v>
      </c>
      <c r="I297" s="679">
        <v>14300</v>
      </c>
      <c r="J297" s="679">
        <v>15400</v>
      </c>
      <c r="K297" s="679">
        <v>15550</v>
      </c>
      <c r="L297" s="544">
        <v>16350</v>
      </c>
      <c r="M297" s="544">
        <v>16650</v>
      </c>
      <c r="N297" s="544">
        <v>17000</v>
      </c>
      <c r="O297" s="544">
        <v>17100</v>
      </c>
      <c r="P297" s="544">
        <v>19700</v>
      </c>
      <c r="Q297" s="544">
        <v>20500</v>
      </c>
      <c r="R297" s="544">
        <v>20550</v>
      </c>
      <c r="S297" s="544">
        <v>21300</v>
      </c>
      <c r="T297" s="544">
        <v>21300</v>
      </c>
      <c r="U297" s="544">
        <v>22000</v>
      </c>
      <c r="V297" s="680">
        <v>23200</v>
      </c>
      <c r="W297" s="681">
        <v>23600</v>
      </c>
      <c r="X297" s="682">
        <v>24400</v>
      </c>
      <c r="Y297" s="682">
        <v>24750</v>
      </c>
      <c r="Z297" s="682">
        <v>24950</v>
      </c>
      <c r="AA297" s="682">
        <v>25200</v>
      </c>
      <c r="AB297" s="682">
        <v>25650</v>
      </c>
      <c r="AC297" s="683">
        <v>26250</v>
      </c>
      <c r="AD297" s="683">
        <v>26950</v>
      </c>
      <c r="AE297" s="683">
        <v>28350</v>
      </c>
      <c r="AF297" s="683">
        <v>28500</v>
      </c>
      <c r="AG297" s="691">
        <v>28600</v>
      </c>
      <c r="AH297" s="691"/>
    </row>
    <row r="298" spans="2:34" ht="15" x14ac:dyDescent="0.25">
      <c r="B298" s="684" t="s">
        <v>499</v>
      </c>
      <c r="C298" s="679">
        <v>12600</v>
      </c>
      <c r="D298" s="679">
        <v>13100</v>
      </c>
      <c r="E298" s="679">
        <v>13200</v>
      </c>
      <c r="F298" s="679">
        <v>13850</v>
      </c>
      <c r="G298" s="679">
        <v>14100</v>
      </c>
      <c r="H298" s="679">
        <v>14100</v>
      </c>
      <c r="I298" s="679">
        <v>14300</v>
      </c>
      <c r="J298" s="679">
        <v>15400</v>
      </c>
      <c r="K298" s="679">
        <v>15550</v>
      </c>
      <c r="L298" s="544">
        <v>16350</v>
      </c>
      <c r="M298" s="544">
        <v>16650</v>
      </c>
      <c r="N298" s="544">
        <v>17000</v>
      </c>
      <c r="O298" s="544">
        <v>17100</v>
      </c>
      <c r="P298" s="544">
        <v>19700</v>
      </c>
      <c r="Q298" s="544">
        <v>20500</v>
      </c>
      <c r="R298" s="544">
        <v>20550</v>
      </c>
      <c r="S298" s="544">
        <v>21300</v>
      </c>
      <c r="T298" s="544">
        <v>21300</v>
      </c>
      <c r="U298" s="544">
        <v>22000</v>
      </c>
      <c r="V298" s="680">
        <v>23200</v>
      </c>
      <c r="W298" s="681">
        <v>23600</v>
      </c>
      <c r="X298" s="682">
        <v>24400</v>
      </c>
      <c r="Y298" s="682">
        <v>24750</v>
      </c>
      <c r="Z298" s="682">
        <v>24950</v>
      </c>
      <c r="AA298" s="682">
        <v>25200</v>
      </c>
      <c r="AB298" s="682">
        <v>25650</v>
      </c>
      <c r="AC298" s="683">
        <v>26250</v>
      </c>
      <c r="AD298" s="683">
        <v>26950</v>
      </c>
      <c r="AE298" s="683">
        <v>28350</v>
      </c>
      <c r="AF298" s="683">
        <v>28500</v>
      </c>
      <c r="AG298" s="691">
        <v>28600</v>
      </c>
      <c r="AH298" s="691"/>
    </row>
    <row r="299" spans="2:34" ht="15" x14ac:dyDescent="0.25">
      <c r="B299" s="684" t="s">
        <v>500</v>
      </c>
      <c r="C299" s="679">
        <v>12600</v>
      </c>
      <c r="D299" s="679">
        <v>13100</v>
      </c>
      <c r="E299" s="679">
        <v>13200</v>
      </c>
      <c r="F299" s="679">
        <v>14700</v>
      </c>
      <c r="G299" s="679">
        <v>14100</v>
      </c>
      <c r="H299" s="679">
        <v>14100</v>
      </c>
      <c r="I299" s="679">
        <v>14700</v>
      </c>
      <c r="J299" s="679">
        <v>15900</v>
      </c>
      <c r="K299" s="679">
        <v>15900</v>
      </c>
      <c r="L299" s="544">
        <v>17000</v>
      </c>
      <c r="M299" s="544">
        <v>17000</v>
      </c>
      <c r="N299" s="544">
        <v>17550</v>
      </c>
      <c r="O299" s="544">
        <v>17900</v>
      </c>
      <c r="P299" s="544">
        <v>20050</v>
      </c>
      <c r="Q299" s="544">
        <v>20800</v>
      </c>
      <c r="R299" s="544">
        <v>21000</v>
      </c>
      <c r="S299" s="544">
        <v>21550</v>
      </c>
      <c r="T299" s="544">
        <v>21550</v>
      </c>
      <c r="U299" s="544">
        <v>22000</v>
      </c>
      <c r="V299" s="680">
        <v>23600</v>
      </c>
      <c r="W299" s="681">
        <v>24050</v>
      </c>
      <c r="X299" s="682">
        <v>24400</v>
      </c>
      <c r="Y299" s="682">
        <v>24750</v>
      </c>
      <c r="Z299" s="682">
        <v>24950</v>
      </c>
      <c r="AA299" s="682">
        <v>25200</v>
      </c>
      <c r="AB299" s="682">
        <v>25650</v>
      </c>
      <c r="AC299" s="683">
        <v>26250</v>
      </c>
      <c r="AD299" s="683">
        <v>28050</v>
      </c>
      <c r="AE299" s="683">
        <v>29650</v>
      </c>
      <c r="AF299" s="683">
        <v>28850</v>
      </c>
      <c r="AG299" s="691">
        <v>29950</v>
      </c>
      <c r="AH299" s="691"/>
    </row>
    <row r="300" spans="2:34" ht="15" x14ac:dyDescent="0.25">
      <c r="B300" s="684" t="s">
        <v>501</v>
      </c>
      <c r="C300" s="679">
        <v>17000</v>
      </c>
      <c r="D300" s="679">
        <v>17250</v>
      </c>
      <c r="E300" s="679">
        <v>17250</v>
      </c>
      <c r="F300" s="679">
        <v>18650</v>
      </c>
      <c r="G300" s="679">
        <v>18650</v>
      </c>
      <c r="H300" s="679">
        <v>18700</v>
      </c>
      <c r="I300" s="679">
        <v>19150</v>
      </c>
      <c r="J300" s="679">
        <v>20400</v>
      </c>
      <c r="K300" s="679">
        <v>20650</v>
      </c>
      <c r="L300" s="544">
        <v>21650</v>
      </c>
      <c r="M300" s="544">
        <v>22050</v>
      </c>
      <c r="N300" s="544">
        <v>22700</v>
      </c>
      <c r="O300" s="544">
        <v>23000</v>
      </c>
      <c r="P300" s="544">
        <v>25550</v>
      </c>
      <c r="Q300" s="544">
        <v>26050</v>
      </c>
      <c r="R300" s="544">
        <v>26300</v>
      </c>
      <c r="S300" s="544">
        <v>26950</v>
      </c>
      <c r="T300" s="544">
        <v>26950</v>
      </c>
      <c r="U300" s="544">
        <v>27650</v>
      </c>
      <c r="V300" s="680">
        <v>29250</v>
      </c>
      <c r="W300" s="681">
        <v>29700</v>
      </c>
      <c r="X300" s="682">
        <v>30300</v>
      </c>
      <c r="Y300" s="682">
        <v>30750</v>
      </c>
      <c r="Z300" s="682">
        <v>30000</v>
      </c>
      <c r="AA300" s="682">
        <v>30700</v>
      </c>
      <c r="AB300" s="682">
        <v>32250</v>
      </c>
      <c r="AC300" s="683">
        <v>32200</v>
      </c>
      <c r="AD300" s="683">
        <v>33650</v>
      </c>
      <c r="AE300" s="683">
        <v>34700</v>
      </c>
      <c r="AF300" s="683">
        <v>36900</v>
      </c>
      <c r="AG300" s="691">
        <v>37200</v>
      </c>
      <c r="AH300" s="691"/>
    </row>
    <row r="301" spans="2:34" ht="15" x14ac:dyDescent="0.25">
      <c r="B301" s="684" t="s">
        <v>502</v>
      </c>
      <c r="C301" s="679">
        <v>12600</v>
      </c>
      <c r="D301" s="679">
        <v>13100</v>
      </c>
      <c r="E301" s="679">
        <v>13200</v>
      </c>
      <c r="F301" s="679">
        <v>13850</v>
      </c>
      <c r="G301" s="679">
        <v>14100</v>
      </c>
      <c r="H301" s="679">
        <v>14100</v>
      </c>
      <c r="I301" s="679">
        <v>14300</v>
      </c>
      <c r="J301" s="679">
        <v>15400</v>
      </c>
      <c r="K301" s="679">
        <v>15550</v>
      </c>
      <c r="L301" s="544">
        <v>16350</v>
      </c>
      <c r="M301" s="544">
        <v>16650</v>
      </c>
      <c r="N301" s="544">
        <v>17000</v>
      </c>
      <c r="O301" s="544">
        <v>17100</v>
      </c>
      <c r="P301" s="544">
        <v>19700</v>
      </c>
      <c r="Q301" s="544">
        <v>20500</v>
      </c>
      <c r="R301" s="544">
        <v>20550</v>
      </c>
      <c r="S301" s="544">
        <v>21300</v>
      </c>
      <c r="T301" s="544">
        <v>21300</v>
      </c>
      <c r="U301" s="544">
        <v>22000</v>
      </c>
      <c r="V301" s="680">
        <v>23200</v>
      </c>
      <c r="W301" s="681">
        <v>23600</v>
      </c>
      <c r="X301" s="682">
        <v>24400</v>
      </c>
      <c r="Y301" s="682">
        <v>24750</v>
      </c>
      <c r="Z301" s="682">
        <v>24950</v>
      </c>
      <c r="AA301" s="682">
        <v>25200</v>
      </c>
      <c r="AB301" s="682">
        <v>25650</v>
      </c>
      <c r="AC301" s="683">
        <v>26250</v>
      </c>
      <c r="AD301" s="683">
        <v>26950</v>
      </c>
      <c r="AE301" s="683">
        <v>28350</v>
      </c>
      <c r="AF301" s="683">
        <v>28500</v>
      </c>
      <c r="AG301" s="691">
        <v>30550</v>
      </c>
      <c r="AH301" s="691"/>
    </row>
    <row r="302" spans="2:34" ht="15" x14ac:dyDescent="0.25">
      <c r="B302" s="684" t="s">
        <v>503</v>
      </c>
      <c r="C302" s="679">
        <v>15400</v>
      </c>
      <c r="D302" s="679">
        <v>15600</v>
      </c>
      <c r="E302" s="679">
        <v>15600</v>
      </c>
      <c r="F302" s="679">
        <v>15400</v>
      </c>
      <c r="G302" s="679">
        <v>15650</v>
      </c>
      <c r="H302" s="679">
        <v>15650</v>
      </c>
      <c r="I302" s="679">
        <v>15800</v>
      </c>
      <c r="J302" s="679">
        <v>17350</v>
      </c>
      <c r="K302" s="679">
        <v>17750</v>
      </c>
      <c r="L302" s="544">
        <v>18300</v>
      </c>
      <c r="M302" s="544">
        <v>18500</v>
      </c>
      <c r="N302" s="544">
        <v>19700</v>
      </c>
      <c r="O302" s="544">
        <v>19700</v>
      </c>
      <c r="P302" s="544">
        <v>21850</v>
      </c>
      <c r="Q302" s="544">
        <v>22650</v>
      </c>
      <c r="R302" s="544">
        <v>22850</v>
      </c>
      <c r="S302" s="544">
        <v>23500</v>
      </c>
      <c r="T302" s="544">
        <v>23550</v>
      </c>
      <c r="U302" s="544">
        <v>24050</v>
      </c>
      <c r="V302" s="680">
        <v>25350</v>
      </c>
      <c r="W302" s="681">
        <v>25800</v>
      </c>
      <c r="X302" s="682">
        <v>25950</v>
      </c>
      <c r="Y302" s="682">
        <v>26300</v>
      </c>
      <c r="Z302" s="682">
        <v>27400</v>
      </c>
      <c r="AA302" s="682">
        <v>26900</v>
      </c>
      <c r="AB302" s="682">
        <v>28150</v>
      </c>
      <c r="AC302" s="683">
        <v>28300</v>
      </c>
      <c r="AD302" s="683">
        <v>29350</v>
      </c>
      <c r="AE302" s="683">
        <v>30750</v>
      </c>
      <c r="AF302" s="683">
        <v>33800</v>
      </c>
      <c r="AG302" s="691">
        <v>33550</v>
      </c>
      <c r="AH302" s="691"/>
    </row>
    <row r="303" spans="2:34" ht="15" x14ac:dyDescent="0.25">
      <c r="B303" s="684" t="s">
        <v>504</v>
      </c>
      <c r="C303" s="679">
        <v>12600</v>
      </c>
      <c r="D303" s="679">
        <v>13100</v>
      </c>
      <c r="E303" s="679">
        <v>13200</v>
      </c>
      <c r="F303" s="679">
        <v>13850</v>
      </c>
      <c r="G303" s="679">
        <v>14100</v>
      </c>
      <c r="H303" s="679">
        <v>14100</v>
      </c>
      <c r="I303" s="679">
        <v>14300</v>
      </c>
      <c r="J303" s="679">
        <v>15400</v>
      </c>
      <c r="K303" s="679">
        <v>15600</v>
      </c>
      <c r="L303" s="544">
        <v>16350</v>
      </c>
      <c r="M303" s="544">
        <v>16650</v>
      </c>
      <c r="N303" s="544">
        <v>17000</v>
      </c>
      <c r="O303" s="544">
        <v>17100</v>
      </c>
      <c r="P303" s="544">
        <v>19700</v>
      </c>
      <c r="Q303" s="544">
        <v>20500</v>
      </c>
      <c r="R303" s="544">
        <v>20550</v>
      </c>
      <c r="S303" s="544">
        <v>21300</v>
      </c>
      <c r="T303" s="544">
        <v>21300</v>
      </c>
      <c r="U303" s="544">
        <v>22000</v>
      </c>
      <c r="V303" s="680">
        <v>23200</v>
      </c>
      <c r="W303" s="681">
        <v>23600</v>
      </c>
      <c r="X303" s="682">
        <v>24750</v>
      </c>
      <c r="Y303" s="682">
        <v>25450</v>
      </c>
      <c r="Z303" s="682">
        <v>26700</v>
      </c>
      <c r="AA303" s="682">
        <v>27350</v>
      </c>
      <c r="AB303" s="682">
        <v>28750</v>
      </c>
      <c r="AC303" s="683">
        <v>29100</v>
      </c>
      <c r="AD303" s="683">
        <v>29550</v>
      </c>
      <c r="AE303" s="683">
        <v>30150</v>
      </c>
      <c r="AF303" s="683">
        <v>30800</v>
      </c>
      <c r="AG303" s="691">
        <v>30100</v>
      </c>
      <c r="AH303" s="691"/>
    </row>
    <row r="304" spans="2:34" ht="15" x14ac:dyDescent="0.25">
      <c r="B304" s="684" t="s">
        <v>505</v>
      </c>
      <c r="C304" s="679">
        <v>12600</v>
      </c>
      <c r="D304" s="679">
        <v>13100</v>
      </c>
      <c r="E304" s="679">
        <v>13200</v>
      </c>
      <c r="F304" s="679">
        <v>14150</v>
      </c>
      <c r="G304" s="679">
        <v>14150</v>
      </c>
      <c r="H304" s="679">
        <v>14150</v>
      </c>
      <c r="I304" s="679">
        <v>14300</v>
      </c>
      <c r="J304" s="679">
        <v>15500</v>
      </c>
      <c r="K304" s="679">
        <v>15700</v>
      </c>
      <c r="L304" s="544">
        <v>16750</v>
      </c>
      <c r="M304" s="544">
        <v>16750</v>
      </c>
      <c r="N304" s="544">
        <v>17850</v>
      </c>
      <c r="O304" s="544">
        <v>18300</v>
      </c>
      <c r="P304" s="544">
        <v>20000</v>
      </c>
      <c r="Q304" s="544">
        <v>20650</v>
      </c>
      <c r="R304" s="544">
        <v>21100</v>
      </c>
      <c r="S304" s="544">
        <v>21750</v>
      </c>
      <c r="T304" s="544">
        <v>21750</v>
      </c>
      <c r="U304" s="544">
        <v>22200</v>
      </c>
      <c r="V304" s="680">
        <v>23800</v>
      </c>
      <c r="W304" s="681">
        <v>24250</v>
      </c>
      <c r="X304" s="682">
        <v>24400</v>
      </c>
      <c r="Y304" s="682">
        <v>24750</v>
      </c>
      <c r="Z304" s="682">
        <v>25250</v>
      </c>
      <c r="AA304" s="682">
        <v>25650</v>
      </c>
      <c r="AB304" s="682">
        <v>26500</v>
      </c>
      <c r="AC304" s="683">
        <v>26250</v>
      </c>
      <c r="AD304" s="683">
        <v>26950</v>
      </c>
      <c r="AE304" s="683">
        <v>28350</v>
      </c>
      <c r="AF304" s="683">
        <v>28500</v>
      </c>
      <c r="AG304" s="691">
        <v>28600</v>
      </c>
      <c r="AH304" s="691"/>
    </row>
    <row r="305" spans="2:34" ht="15" x14ac:dyDescent="0.25">
      <c r="B305" s="684" t="s">
        <v>506</v>
      </c>
      <c r="C305" s="679">
        <v>17850</v>
      </c>
      <c r="D305" s="679">
        <v>18100</v>
      </c>
      <c r="E305" s="679">
        <v>18150</v>
      </c>
      <c r="F305" s="679">
        <v>18750</v>
      </c>
      <c r="G305" s="679">
        <v>18750</v>
      </c>
      <c r="H305" s="679">
        <v>18750</v>
      </c>
      <c r="I305" s="679">
        <v>19200</v>
      </c>
      <c r="J305" s="679">
        <v>20450</v>
      </c>
      <c r="K305" s="679">
        <v>20700</v>
      </c>
      <c r="L305" s="544">
        <v>21850</v>
      </c>
      <c r="M305" s="544">
        <v>22550</v>
      </c>
      <c r="N305" s="544">
        <v>23400</v>
      </c>
      <c r="O305" s="544">
        <v>23450</v>
      </c>
      <c r="P305" s="544">
        <v>26100</v>
      </c>
      <c r="Q305" s="544">
        <v>27250</v>
      </c>
      <c r="R305" s="544">
        <v>27250</v>
      </c>
      <c r="S305" s="544">
        <v>27250</v>
      </c>
      <c r="T305" s="544">
        <v>27250</v>
      </c>
      <c r="U305" s="544">
        <v>27350</v>
      </c>
      <c r="V305" s="680">
        <v>28800</v>
      </c>
      <c r="W305" s="681">
        <v>29650</v>
      </c>
      <c r="X305" s="682">
        <v>29800</v>
      </c>
      <c r="Y305" s="682">
        <v>30200</v>
      </c>
      <c r="Z305" s="682">
        <v>29850</v>
      </c>
      <c r="AA305" s="682">
        <v>29600</v>
      </c>
      <c r="AB305" s="682">
        <v>30700</v>
      </c>
      <c r="AC305" s="683">
        <v>30950</v>
      </c>
      <c r="AD305" s="683">
        <v>31950</v>
      </c>
      <c r="AE305" s="683">
        <v>33550</v>
      </c>
      <c r="AF305" s="683">
        <v>34850</v>
      </c>
      <c r="AG305" s="691">
        <v>34300</v>
      </c>
      <c r="AH305" s="691"/>
    </row>
    <row r="306" spans="2:34" ht="15" x14ac:dyDescent="0.25">
      <c r="B306" s="684" t="s">
        <v>507</v>
      </c>
      <c r="C306" s="679">
        <v>15450</v>
      </c>
      <c r="D306" s="679">
        <v>15850</v>
      </c>
      <c r="E306" s="679">
        <v>16000</v>
      </c>
      <c r="F306" s="679">
        <v>16050</v>
      </c>
      <c r="G306" s="679">
        <v>16250</v>
      </c>
      <c r="H306" s="679">
        <v>16500</v>
      </c>
      <c r="I306" s="679">
        <v>16500</v>
      </c>
      <c r="J306" s="679">
        <v>16800</v>
      </c>
      <c r="K306" s="679">
        <v>17200</v>
      </c>
      <c r="L306" s="544">
        <v>17400</v>
      </c>
      <c r="M306" s="544">
        <v>17400</v>
      </c>
      <c r="N306" s="544">
        <v>18600</v>
      </c>
      <c r="O306" s="544">
        <v>18600</v>
      </c>
      <c r="P306" s="544">
        <v>20650</v>
      </c>
      <c r="Q306" s="544">
        <v>21400</v>
      </c>
      <c r="R306" s="544">
        <v>21650</v>
      </c>
      <c r="S306" s="544">
        <v>22350</v>
      </c>
      <c r="T306" s="544">
        <v>22350</v>
      </c>
      <c r="U306" s="544">
        <v>23250</v>
      </c>
      <c r="V306" s="680">
        <v>23850</v>
      </c>
      <c r="W306" s="681">
        <v>24600</v>
      </c>
      <c r="X306" s="682">
        <v>25100</v>
      </c>
      <c r="Y306" s="682">
        <v>25450</v>
      </c>
      <c r="Z306" s="682">
        <v>26700</v>
      </c>
      <c r="AA306" s="682">
        <v>28000</v>
      </c>
      <c r="AB306" s="682">
        <v>29350</v>
      </c>
      <c r="AC306" s="683">
        <v>29200</v>
      </c>
      <c r="AD306" s="683">
        <v>27800</v>
      </c>
      <c r="AE306" s="683">
        <v>28350</v>
      </c>
      <c r="AF306" s="683">
        <v>29850</v>
      </c>
      <c r="AG306" s="691">
        <v>30000</v>
      </c>
      <c r="AH306" s="691"/>
    </row>
    <row r="307" spans="2:34" ht="15" x14ac:dyDescent="0.25">
      <c r="B307" s="684" t="s">
        <v>508</v>
      </c>
      <c r="C307" s="679">
        <v>12600</v>
      </c>
      <c r="D307" s="679">
        <v>13100</v>
      </c>
      <c r="E307" s="679">
        <v>13200</v>
      </c>
      <c r="F307" s="679">
        <v>13850</v>
      </c>
      <c r="G307" s="679">
        <v>14100</v>
      </c>
      <c r="H307" s="679">
        <v>14100</v>
      </c>
      <c r="I307" s="679">
        <v>14300</v>
      </c>
      <c r="J307" s="679">
        <v>15400</v>
      </c>
      <c r="K307" s="679">
        <v>15550</v>
      </c>
      <c r="L307" s="544">
        <v>16350</v>
      </c>
      <c r="M307" s="544">
        <v>16650</v>
      </c>
      <c r="N307" s="544">
        <v>17000</v>
      </c>
      <c r="O307" s="544">
        <v>17100</v>
      </c>
      <c r="P307" s="544">
        <v>19700</v>
      </c>
      <c r="Q307" s="544">
        <v>20500</v>
      </c>
      <c r="R307" s="544">
        <v>20550</v>
      </c>
      <c r="S307" s="544">
        <v>21300</v>
      </c>
      <c r="T307" s="544">
        <v>21300</v>
      </c>
      <c r="U307" s="544">
        <v>22000</v>
      </c>
      <c r="V307" s="680">
        <v>23200</v>
      </c>
      <c r="W307" s="681">
        <v>23600</v>
      </c>
      <c r="X307" s="682">
        <v>24400</v>
      </c>
      <c r="Y307" s="682">
        <v>24750</v>
      </c>
      <c r="Z307" s="682">
        <v>24950</v>
      </c>
      <c r="AA307" s="682">
        <v>25200</v>
      </c>
      <c r="AB307" s="682">
        <v>25650</v>
      </c>
      <c r="AC307" s="683">
        <v>26250</v>
      </c>
      <c r="AD307" s="683">
        <v>26950</v>
      </c>
      <c r="AE307" s="683">
        <v>28350</v>
      </c>
      <c r="AF307" s="683">
        <v>28500</v>
      </c>
      <c r="AG307" s="691">
        <v>28600</v>
      </c>
      <c r="AH307" s="691"/>
    </row>
    <row r="308" spans="2:34" ht="15" x14ac:dyDescent="0.25">
      <c r="B308" s="684" t="s">
        <v>509</v>
      </c>
      <c r="C308" s="679">
        <v>12600</v>
      </c>
      <c r="D308" s="679">
        <v>13100</v>
      </c>
      <c r="E308" s="679">
        <v>13200</v>
      </c>
      <c r="F308" s="679">
        <v>13850</v>
      </c>
      <c r="G308" s="679">
        <v>14100</v>
      </c>
      <c r="H308" s="679">
        <v>14100</v>
      </c>
      <c r="I308" s="679">
        <v>14450</v>
      </c>
      <c r="J308" s="679">
        <v>15800</v>
      </c>
      <c r="K308" s="679">
        <v>15800</v>
      </c>
      <c r="L308" s="544">
        <v>16350</v>
      </c>
      <c r="M308" s="544">
        <v>16650</v>
      </c>
      <c r="N308" s="544">
        <v>17000</v>
      </c>
      <c r="O308" s="544">
        <v>17100</v>
      </c>
      <c r="P308" s="544">
        <v>19850</v>
      </c>
      <c r="Q308" s="544">
        <v>20700</v>
      </c>
      <c r="R308" s="544">
        <v>20900</v>
      </c>
      <c r="S308" s="544">
        <v>21350</v>
      </c>
      <c r="T308" s="544">
        <v>21350</v>
      </c>
      <c r="U308" s="544">
        <v>22400</v>
      </c>
      <c r="V308" s="680">
        <v>23550</v>
      </c>
      <c r="W308" s="681">
        <v>24000</v>
      </c>
      <c r="X308" s="682">
        <v>24800</v>
      </c>
      <c r="Y308" s="682">
        <v>25150</v>
      </c>
      <c r="Z308" s="682">
        <v>25750</v>
      </c>
      <c r="AA308" s="682">
        <v>27000</v>
      </c>
      <c r="AB308" s="682">
        <v>28600</v>
      </c>
      <c r="AC308" s="683">
        <v>29700</v>
      </c>
      <c r="AD308" s="683">
        <v>31200</v>
      </c>
      <c r="AE308" s="683">
        <v>32100</v>
      </c>
      <c r="AF308" s="683">
        <v>32200</v>
      </c>
      <c r="AG308" s="691">
        <v>32550</v>
      </c>
      <c r="AH308" s="691"/>
    </row>
    <row r="309" spans="2:34" ht="15" x14ac:dyDescent="0.25">
      <c r="B309" s="684" t="s">
        <v>510</v>
      </c>
      <c r="C309" s="679">
        <v>12700</v>
      </c>
      <c r="D309" s="679">
        <v>13150</v>
      </c>
      <c r="E309" s="679">
        <v>13200</v>
      </c>
      <c r="F309" s="679">
        <v>13850</v>
      </c>
      <c r="G309" s="679">
        <v>14100</v>
      </c>
      <c r="H309" s="679">
        <v>14100</v>
      </c>
      <c r="I309" s="679">
        <v>14300</v>
      </c>
      <c r="J309" s="679">
        <v>15400</v>
      </c>
      <c r="K309" s="679">
        <v>15550</v>
      </c>
      <c r="L309" s="544">
        <v>16350</v>
      </c>
      <c r="M309" s="544">
        <v>16650</v>
      </c>
      <c r="N309" s="544">
        <v>17000</v>
      </c>
      <c r="O309" s="544">
        <v>17100</v>
      </c>
      <c r="P309" s="544">
        <v>19700</v>
      </c>
      <c r="Q309" s="544">
        <v>20500</v>
      </c>
      <c r="R309" s="544">
        <v>20550</v>
      </c>
      <c r="S309" s="544">
        <v>21300</v>
      </c>
      <c r="T309" s="544">
        <v>21300</v>
      </c>
      <c r="U309" s="544">
        <v>22000</v>
      </c>
      <c r="V309" s="680">
        <v>23200</v>
      </c>
      <c r="W309" s="681">
        <v>23600</v>
      </c>
      <c r="X309" s="682">
        <v>24750</v>
      </c>
      <c r="Y309" s="682">
        <v>25950</v>
      </c>
      <c r="Z309" s="682">
        <v>27200</v>
      </c>
      <c r="AA309" s="682">
        <v>28550</v>
      </c>
      <c r="AB309" s="682">
        <v>30200</v>
      </c>
      <c r="AC309" s="683">
        <v>30550</v>
      </c>
      <c r="AD309" s="683">
        <v>32650</v>
      </c>
      <c r="AE309" s="683">
        <v>35500</v>
      </c>
      <c r="AF309" s="683">
        <v>36300</v>
      </c>
      <c r="AG309" s="691">
        <v>34500</v>
      </c>
      <c r="AH309" s="691"/>
    </row>
    <row r="310" spans="2:34" ht="15" x14ac:dyDescent="0.25">
      <c r="B310" s="684" t="s">
        <v>511</v>
      </c>
      <c r="C310" s="679">
        <v>15700</v>
      </c>
      <c r="D310" s="679">
        <v>16600</v>
      </c>
      <c r="E310" s="679">
        <v>16650</v>
      </c>
      <c r="F310" s="679">
        <v>16250</v>
      </c>
      <c r="G310" s="679">
        <v>16250</v>
      </c>
      <c r="H310" s="679">
        <v>16250</v>
      </c>
      <c r="I310" s="679">
        <v>16300</v>
      </c>
      <c r="J310" s="679">
        <v>17500</v>
      </c>
      <c r="K310" s="679">
        <v>17650</v>
      </c>
      <c r="L310" s="544">
        <v>18700</v>
      </c>
      <c r="M310" s="544">
        <v>19150</v>
      </c>
      <c r="N310" s="544">
        <v>19350</v>
      </c>
      <c r="O310" s="544">
        <v>19750</v>
      </c>
      <c r="P310" s="544">
        <v>22000</v>
      </c>
      <c r="Q310" s="544">
        <v>23400</v>
      </c>
      <c r="R310" s="544">
        <v>23400</v>
      </c>
      <c r="S310" s="544">
        <v>23850</v>
      </c>
      <c r="T310" s="544">
        <v>23850</v>
      </c>
      <c r="U310" s="544">
        <v>24650</v>
      </c>
      <c r="V310" s="680">
        <v>25700</v>
      </c>
      <c r="W310" s="681">
        <v>26400</v>
      </c>
      <c r="X310" s="682">
        <v>26350</v>
      </c>
      <c r="Y310" s="682">
        <v>26700</v>
      </c>
      <c r="Z310" s="682">
        <v>26650</v>
      </c>
      <c r="AA310" s="682">
        <v>27200</v>
      </c>
      <c r="AB310" s="682">
        <v>27700</v>
      </c>
      <c r="AC310" s="683">
        <v>27500</v>
      </c>
      <c r="AD310" s="683">
        <v>28100</v>
      </c>
      <c r="AE310" s="683">
        <v>30250</v>
      </c>
      <c r="AF310" s="683">
        <v>31900</v>
      </c>
      <c r="AG310" s="691">
        <v>32600</v>
      </c>
      <c r="AH310" s="691"/>
    </row>
    <row r="311" spans="2:34" ht="15" x14ac:dyDescent="0.25">
      <c r="B311" s="684" t="s">
        <v>512</v>
      </c>
      <c r="C311" s="679">
        <v>12600</v>
      </c>
      <c r="D311" s="679">
        <v>13100</v>
      </c>
      <c r="E311" s="679">
        <v>13200</v>
      </c>
      <c r="F311" s="679">
        <v>13850</v>
      </c>
      <c r="G311" s="679">
        <v>14100</v>
      </c>
      <c r="H311" s="679">
        <v>14100</v>
      </c>
      <c r="I311" s="679">
        <v>14300</v>
      </c>
      <c r="J311" s="679">
        <v>15400</v>
      </c>
      <c r="K311" s="679">
        <v>15550</v>
      </c>
      <c r="L311" s="544">
        <v>16350</v>
      </c>
      <c r="M311" s="544">
        <v>16650</v>
      </c>
      <c r="N311" s="544">
        <v>17550</v>
      </c>
      <c r="O311" s="544">
        <v>17750</v>
      </c>
      <c r="P311" s="544">
        <v>19700</v>
      </c>
      <c r="Q311" s="544">
        <v>20500</v>
      </c>
      <c r="R311" s="544">
        <v>20550</v>
      </c>
      <c r="S311" s="544">
        <v>21300</v>
      </c>
      <c r="T311" s="544">
        <v>21300</v>
      </c>
      <c r="U311" s="544">
        <v>22000</v>
      </c>
      <c r="V311" s="680">
        <v>23200</v>
      </c>
      <c r="W311" s="681">
        <v>23600</v>
      </c>
      <c r="X311" s="682">
        <v>24400</v>
      </c>
      <c r="Y311" s="682">
        <v>24750</v>
      </c>
      <c r="Z311" s="682">
        <v>24950</v>
      </c>
      <c r="AA311" s="682">
        <v>25200</v>
      </c>
      <c r="AB311" s="682">
        <v>25650</v>
      </c>
      <c r="AC311" s="683">
        <v>26250</v>
      </c>
      <c r="AD311" s="683">
        <v>26950</v>
      </c>
      <c r="AE311" s="683">
        <v>28350</v>
      </c>
      <c r="AF311" s="683">
        <v>28500</v>
      </c>
      <c r="AG311" s="691">
        <v>28600</v>
      </c>
      <c r="AH311" s="691"/>
    </row>
    <row r="312" spans="2:34" ht="15" x14ac:dyDescent="0.25">
      <c r="B312" s="684" t="s">
        <v>513</v>
      </c>
      <c r="C312" s="679">
        <v>13000</v>
      </c>
      <c r="D312" s="679">
        <v>14300</v>
      </c>
      <c r="E312" s="679">
        <v>14300</v>
      </c>
      <c r="F312" s="679">
        <v>15150</v>
      </c>
      <c r="G312" s="679">
        <v>15600</v>
      </c>
      <c r="H312" s="679">
        <v>15600</v>
      </c>
      <c r="I312" s="679">
        <v>15900</v>
      </c>
      <c r="J312" s="679">
        <v>17000</v>
      </c>
      <c r="K312" s="679">
        <v>17400</v>
      </c>
      <c r="L312" s="544">
        <v>17600</v>
      </c>
      <c r="M312" s="544">
        <v>17600</v>
      </c>
      <c r="N312" s="544">
        <v>19200</v>
      </c>
      <c r="O312" s="544">
        <v>19650</v>
      </c>
      <c r="P312" s="544">
        <v>21850</v>
      </c>
      <c r="Q312" s="544">
        <v>22650</v>
      </c>
      <c r="R312" s="544">
        <v>23100</v>
      </c>
      <c r="S312" s="544">
        <v>23750</v>
      </c>
      <c r="T312" s="544">
        <v>23750</v>
      </c>
      <c r="U312" s="544">
        <v>24500</v>
      </c>
      <c r="V312" s="680">
        <v>26100</v>
      </c>
      <c r="W312" s="681">
        <v>26650</v>
      </c>
      <c r="X312" s="682">
        <v>27950</v>
      </c>
      <c r="Y312" s="682">
        <v>28700</v>
      </c>
      <c r="Z312" s="682">
        <v>28100</v>
      </c>
      <c r="AA312" s="682">
        <v>29100</v>
      </c>
      <c r="AB312" s="682">
        <v>30400</v>
      </c>
      <c r="AC312" s="683">
        <v>29300</v>
      </c>
      <c r="AD312" s="683">
        <v>30700</v>
      </c>
      <c r="AE312" s="683">
        <v>32400</v>
      </c>
      <c r="AF312" s="683">
        <v>33750</v>
      </c>
      <c r="AG312" s="691">
        <v>34900</v>
      </c>
      <c r="AH312" s="691"/>
    </row>
    <row r="313" spans="2:34" ht="15" x14ac:dyDescent="0.25">
      <c r="B313" s="684" t="s">
        <v>514</v>
      </c>
      <c r="C313" s="679">
        <v>14700</v>
      </c>
      <c r="D313" s="679">
        <v>15050</v>
      </c>
      <c r="E313" s="679">
        <v>15350</v>
      </c>
      <c r="F313" s="679">
        <v>15100</v>
      </c>
      <c r="G313" s="679">
        <v>14100</v>
      </c>
      <c r="H313" s="679">
        <v>14100</v>
      </c>
      <c r="I313" s="679">
        <v>15650</v>
      </c>
      <c r="J313" s="679">
        <v>16200</v>
      </c>
      <c r="K313" s="679">
        <v>16350</v>
      </c>
      <c r="L313" s="544">
        <v>17000</v>
      </c>
      <c r="M313" s="544">
        <v>17000</v>
      </c>
      <c r="N313" s="544">
        <v>18350</v>
      </c>
      <c r="O313" s="544">
        <v>19050</v>
      </c>
      <c r="P313" s="544">
        <v>19700</v>
      </c>
      <c r="Q313" s="544">
        <v>20500</v>
      </c>
      <c r="R313" s="544">
        <v>20550</v>
      </c>
      <c r="S313" s="544">
        <v>21300</v>
      </c>
      <c r="T313" s="544">
        <v>21300</v>
      </c>
      <c r="U313" s="544">
        <v>22000</v>
      </c>
      <c r="V313" s="680">
        <v>23350</v>
      </c>
      <c r="W313" s="681">
        <v>23800</v>
      </c>
      <c r="X313" s="682">
        <v>24950</v>
      </c>
      <c r="Y313" s="682">
        <v>26150</v>
      </c>
      <c r="Z313" s="682">
        <v>27450</v>
      </c>
      <c r="AA313" s="682">
        <v>27550</v>
      </c>
      <c r="AB313" s="682">
        <v>29150</v>
      </c>
      <c r="AC313" s="683">
        <v>30000</v>
      </c>
      <c r="AD313" s="683">
        <v>31100</v>
      </c>
      <c r="AE313" s="683">
        <v>32000</v>
      </c>
      <c r="AF313" s="683">
        <v>34700</v>
      </c>
      <c r="AG313" s="691">
        <v>34300</v>
      </c>
      <c r="AH313" s="691"/>
    </row>
    <row r="314" spans="2:34" ht="15" x14ac:dyDescent="0.25">
      <c r="B314" s="684" t="s">
        <v>515</v>
      </c>
      <c r="C314" s="679">
        <v>12600</v>
      </c>
      <c r="D314" s="679">
        <v>13100</v>
      </c>
      <c r="E314" s="679">
        <v>13200</v>
      </c>
      <c r="F314" s="679">
        <v>13850</v>
      </c>
      <c r="G314" s="679">
        <v>14100</v>
      </c>
      <c r="H314" s="679">
        <v>14100</v>
      </c>
      <c r="I314" s="679">
        <v>14300</v>
      </c>
      <c r="J314" s="679">
        <v>15400</v>
      </c>
      <c r="K314" s="679">
        <v>15550</v>
      </c>
      <c r="L314" s="544">
        <v>16350</v>
      </c>
      <c r="M314" s="544">
        <v>16650</v>
      </c>
      <c r="N314" s="544">
        <v>17000</v>
      </c>
      <c r="O314" s="544">
        <v>17100</v>
      </c>
      <c r="P314" s="544">
        <v>19700</v>
      </c>
      <c r="Q314" s="544">
        <v>20500</v>
      </c>
      <c r="R314" s="544">
        <v>20550</v>
      </c>
      <c r="S314" s="544">
        <v>21300</v>
      </c>
      <c r="T314" s="544">
        <v>21300</v>
      </c>
      <c r="U314" s="544">
        <v>22000</v>
      </c>
      <c r="V314" s="680">
        <v>23200</v>
      </c>
      <c r="W314" s="681">
        <v>23600</v>
      </c>
      <c r="X314" s="682">
        <v>24400</v>
      </c>
      <c r="Y314" s="682">
        <v>24750</v>
      </c>
      <c r="Z314" s="682">
        <v>24950</v>
      </c>
      <c r="AA314" s="682">
        <v>25700</v>
      </c>
      <c r="AB314" s="682">
        <v>25650</v>
      </c>
      <c r="AC314" s="683">
        <v>26250</v>
      </c>
      <c r="AD314" s="683">
        <v>26950</v>
      </c>
      <c r="AE314" s="683">
        <v>28350</v>
      </c>
      <c r="AF314" s="683">
        <v>28500</v>
      </c>
      <c r="AG314" s="691">
        <v>28600</v>
      </c>
      <c r="AH314" s="691"/>
    </row>
    <row r="315" spans="2:34" ht="15" x14ac:dyDescent="0.25">
      <c r="B315" s="684" t="s">
        <v>516</v>
      </c>
      <c r="C315" s="679">
        <v>12600</v>
      </c>
      <c r="D315" s="679">
        <v>13100</v>
      </c>
      <c r="E315" s="679">
        <v>13200</v>
      </c>
      <c r="F315" s="679">
        <v>13850</v>
      </c>
      <c r="G315" s="679">
        <v>14100</v>
      </c>
      <c r="H315" s="679">
        <v>14100</v>
      </c>
      <c r="I315" s="679">
        <v>14300</v>
      </c>
      <c r="J315" s="679">
        <v>15400</v>
      </c>
      <c r="K315" s="679">
        <v>15550</v>
      </c>
      <c r="L315" s="544">
        <v>16350</v>
      </c>
      <c r="M315" s="544">
        <v>16650</v>
      </c>
      <c r="N315" s="544">
        <v>17000</v>
      </c>
      <c r="O315" s="544">
        <v>17100</v>
      </c>
      <c r="P315" s="544">
        <v>19700</v>
      </c>
      <c r="Q315" s="544">
        <v>20500</v>
      </c>
      <c r="R315" s="544">
        <v>20550</v>
      </c>
      <c r="S315" s="544">
        <v>21300</v>
      </c>
      <c r="T315" s="544">
        <v>21300</v>
      </c>
      <c r="U315" s="544">
        <v>22000</v>
      </c>
      <c r="V315" s="680">
        <v>23200</v>
      </c>
      <c r="W315" s="681">
        <v>23600</v>
      </c>
      <c r="X315" s="682">
        <v>24400</v>
      </c>
      <c r="Y315" s="682">
        <v>24750</v>
      </c>
      <c r="Z315" s="682">
        <v>24950</v>
      </c>
      <c r="AA315" s="682">
        <v>25200</v>
      </c>
      <c r="AB315" s="682">
        <v>25650</v>
      </c>
      <c r="AC315" s="683">
        <v>26250</v>
      </c>
      <c r="AD315" s="683">
        <v>26950</v>
      </c>
      <c r="AE315" s="683">
        <v>28350</v>
      </c>
      <c r="AF315" s="683">
        <v>28500</v>
      </c>
      <c r="AG315" s="691">
        <v>28600</v>
      </c>
      <c r="AH315" s="691"/>
    </row>
    <row r="316" spans="2:34" ht="15" x14ac:dyDescent="0.25">
      <c r="B316" s="684" t="s">
        <v>517</v>
      </c>
      <c r="C316" s="679">
        <v>15350</v>
      </c>
      <c r="D316" s="679">
        <v>15900</v>
      </c>
      <c r="E316" s="679">
        <v>15900</v>
      </c>
      <c r="F316" s="679">
        <v>15750</v>
      </c>
      <c r="G316" s="679">
        <v>14100</v>
      </c>
      <c r="H316" s="679">
        <v>14100</v>
      </c>
      <c r="I316" s="679">
        <v>16250</v>
      </c>
      <c r="J316" s="679">
        <v>16400</v>
      </c>
      <c r="K316" s="679">
        <v>16750</v>
      </c>
      <c r="L316" s="544">
        <v>17000</v>
      </c>
      <c r="M316" s="544">
        <v>17000</v>
      </c>
      <c r="N316" s="544">
        <v>19000</v>
      </c>
      <c r="O316" s="544">
        <v>19000</v>
      </c>
      <c r="P316" s="544">
        <v>23000</v>
      </c>
      <c r="Q316" s="544">
        <v>24100</v>
      </c>
      <c r="R316" s="544">
        <v>24100</v>
      </c>
      <c r="S316" s="544">
        <v>24800</v>
      </c>
      <c r="T316" s="544">
        <v>24800</v>
      </c>
      <c r="U316" s="544">
        <v>25550</v>
      </c>
      <c r="V316" s="680">
        <v>26700</v>
      </c>
      <c r="W316" s="681">
        <v>27200</v>
      </c>
      <c r="X316" s="682">
        <v>28550</v>
      </c>
      <c r="Y316" s="682">
        <v>29400</v>
      </c>
      <c r="Z316" s="682">
        <v>28100</v>
      </c>
      <c r="AA316" s="682">
        <v>26800</v>
      </c>
      <c r="AB316" s="682">
        <v>27900</v>
      </c>
      <c r="AC316" s="683">
        <v>26550</v>
      </c>
      <c r="AD316" s="683">
        <v>28400</v>
      </c>
      <c r="AE316" s="683">
        <v>31500</v>
      </c>
      <c r="AF316" s="683">
        <v>34550</v>
      </c>
      <c r="AG316" s="691">
        <v>33000</v>
      </c>
      <c r="AH316" s="691"/>
    </row>
    <row r="317" spans="2:34" ht="15" x14ac:dyDescent="0.25">
      <c r="B317" s="684" t="s">
        <v>518</v>
      </c>
      <c r="C317" s="679">
        <v>12600</v>
      </c>
      <c r="D317" s="679">
        <v>13100</v>
      </c>
      <c r="E317" s="679">
        <v>13200</v>
      </c>
      <c r="F317" s="679">
        <v>13850</v>
      </c>
      <c r="G317" s="679">
        <v>14100</v>
      </c>
      <c r="H317" s="679">
        <v>14100</v>
      </c>
      <c r="I317" s="679">
        <v>14300</v>
      </c>
      <c r="J317" s="679">
        <v>15400</v>
      </c>
      <c r="K317" s="679">
        <v>15550</v>
      </c>
      <c r="L317" s="544">
        <v>16350</v>
      </c>
      <c r="M317" s="544">
        <v>16650</v>
      </c>
      <c r="N317" s="544">
        <v>17000</v>
      </c>
      <c r="O317" s="544">
        <v>17100</v>
      </c>
      <c r="P317" s="544">
        <v>19700</v>
      </c>
      <c r="Q317" s="544">
        <v>20500</v>
      </c>
      <c r="R317" s="544">
        <v>20550</v>
      </c>
      <c r="S317" s="544">
        <v>21300</v>
      </c>
      <c r="T317" s="544">
        <v>21300</v>
      </c>
      <c r="U317" s="544">
        <v>22000</v>
      </c>
      <c r="V317" s="680">
        <v>23200</v>
      </c>
      <c r="W317" s="681">
        <v>23600</v>
      </c>
      <c r="X317" s="682">
        <v>24400</v>
      </c>
      <c r="Y317" s="682">
        <v>24750</v>
      </c>
      <c r="Z317" s="682">
        <v>25850</v>
      </c>
      <c r="AA317" s="682">
        <v>25200</v>
      </c>
      <c r="AB317" s="682">
        <v>25800</v>
      </c>
      <c r="AC317" s="683">
        <v>26250</v>
      </c>
      <c r="AD317" s="683">
        <v>26950</v>
      </c>
      <c r="AE317" s="683">
        <v>28350</v>
      </c>
      <c r="AF317" s="683">
        <v>28500</v>
      </c>
      <c r="AG317" s="691">
        <v>28600</v>
      </c>
      <c r="AH317" s="691"/>
    </row>
    <row r="318" spans="2:34" ht="15" x14ac:dyDescent="0.25">
      <c r="B318" s="684" t="s">
        <v>519</v>
      </c>
      <c r="C318" s="679">
        <v>12600</v>
      </c>
      <c r="D318" s="679">
        <v>13100</v>
      </c>
      <c r="E318" s="679">
        <v>13200</v>
      </c>
      <c r="F318" s="679">
        <v>13850</v>
      </c>
      <c r="G318" s="679">
        <v>14100</v>
      </c>
      <c r="H318" s="679">
        <v>14100</v>
      </c>
      <c r="I318" s="679">
        <v>14300</v>
      </c>
      <c r="J318" s="679">
        <v>15400</v>
      </c>
      <c r="K318" s="679">
        <v>15550</v>
      </c>
      <c r="L318" s="544">
        <v>16350</v>
      </c>
      <c r="M318" s="544">
        <v>16650</v>
      </c>
      <c r="N318" s="544">
        <v>17000</v>
      </c>
      <c r="O318" s="544">
        <v>17100</v>
      </c>
      <c r="P318" s="544">
        <v>19700</v>
      </c>
      <c r="Q318" s="544">
        <v>20500</v>
      </c>
      <c r="R318" s="544">
        <v>20550</v>
      </c>
      <c r="S318" s="544">
        <v>21300</v>
      </c>
      <c r="T318" s="544">
        <v>21300</v>
      </c>
      <c r="U318" s="544">
        <v>22000</v>
      </c>
      <c r="V318" s="680">
        <v>23200</v>
      </c>
      <c r="W318" s="681">
        <v>23600</v>
      </c>
      <c r="X318" s="682">
        <v>24400</v>
      </c>
      <c r="Y318" s="682">
        <v>24750</v>
      </c>
      <c r="Z318" s="682">
        <v>24950</v>
      </c>
      <c r="AA318" s="682">
        <v>25200</v>
      </c>
      <c r="AB318" s="682">
        <v>25650</v>
      </c>
      <c r="AC318" s="683">
        <v>26250</v>
      </c>
      <c r="AD318" s="683">
        <v>26950</v>
      </c>
      <c r="AE318" s="683">
        <v>28350</v>
      </c>
      <c r="AF318" s="683">
        <v>28500</v>
      </c>
      <c r="AG318" s="691">
        <v>28600</v>
      </c>
      <c r="AH318" s="691"/>
    </row>
    <row r="319" spans="2:34" ht="15" x14ac:dyDescent="0.25">
      <c r="B319" s="684" t="s">
        <v>520</v>
      </c>
      <c r="C319" s="679">
        <v>12600</v>
      </c>
      <c r="D319" s="679">
        <v>13100</v>
      </c>
      <c r="E319" s="679">
        <v>13200</v>
      </c>
      <c r="F319" s="679">
        <v>14100</v>
      </c>
      <c r="G319" s="679">
        <v>14500</v>
      </c>
      <c r="H319" s="679">
        <v>14500</v>
      </c>
      <c r="I319" s="679">
        <v>14700</v>
      </c>
      <c r="J319" s="679">
        <v>15900</v>
      </c>
      <c r="K319" s="679">
        <v>15900</v>
      </c>
      <c r="L319" s="544">
        <v>17450</v>
      </c>
      <c r="M319" s="544">
        <v>18250</v>
      </c>
      <c r="N319" s="544">
        <v>18900</v>
      </c>
      <c r="O319" s="544">
        <v>18950</v>
      </c>
      <c r="P319" s="544">
        <v>21950</v>
      </c>
      <c r="Q319" s="544">
        <v>22200</v>
      </c>
      <c r="R319" s="544">
        <v>22250</v>
      </c>
      <c r="S319" s="544">
        <v>23050</v>
      </c>
      <c r="T319" s="544">
        <v>23050</v>
      </c>
      <c r="U319" s="544">
        <v>23750</v>
      </c>
      <c r="V319" s="680">
        <v>24950</v>
      </c>
      <c r="W319" s="681">
        <v>25400</v>
      </c>
      <c r="X319" s="682">
        <v>26200</v>
      </c>
      <c r="Y319" s="682">
        <v>26550</v>
      </c>
      <c r="Z319" s="682">
        <v>27550</v>
      </c>
      <c r="AA319" s="682">
        <v>27000</v>
      </c>
      <c r="AB319" s="682">
        <v>27500</v>
      </c>
      <c r="AC319" s="683">
        <v>26500</v>
      </c>
      <c r="AD319" s="683">
        <v>26950</v>
      </c>
      <c r="AE319" s="683">
        <v>28350</v>
      </c>
      <c r="AF319" s="683">
        <v>28500</v>
      </c>
      <c r="AG319" s="691">
        <v>28850</v>
      </c>
      <c r="AH319" s="691"/>
    </row>
    <row r="320" spans="2:34" ht="15" x14ac:dyDescent="0.25">
      <c r="B320" s="684" t="s">
        <v>521</v>
      </c>
      <c r="C320" s="679">
        <v>12600</v>
      </c>
      <c r="D320" s="679">
        <v>13100</v>
      </c>
      <c r="E320" s="679">
        <v>13200</v>
      </c>
      <c r="F320" s="679">
        <v>13850</v>
      </c>
      <c r="G320" s="679">
        <v>14100</v>
      </c>
      <c r="H320" s="679">
        <v>14100</v>
      </c>
      <c r="I320" s="679">
        <v>14300</v>
      </c>
      <c r="J320" s="679">
        <v>15400</v>
      </c>
      <c r="K320" s="679">
        <v>15550</v>
      </c>
      <c r="L320" s="544">
        <v>16350</v>
      </c>
      <c r="M320" s="544">
        <v>16650</v>
      </c>
      <c r="N320" s="544">
        <v>17000</v>
      </c>
      <c r="O320" s="544">
        <v>17100</v>
      </c>
      <c r="P320" s="544">
        <v>19700</v>
      </c>
      <c r="Q320" s="544">
        <v>20500</v>
      </c>
      <c r="R320" s="544">
        <v>20550</v>
      </c>
      <c r="S320" s="544">
        <v>21300</v>
      </c>
      <c r="T320" s="544">
        <v>21300</v>
      </c>
      <c r="U320" s="544">
        <v>22000</v>
      </c>
      <c r="V320" s="680">
        <v>23200</v>
      </c>
      <c r="W320" s="681">
        <v>23600</v>
      </c>
      <c r="X320" s="682">
        <v>24400</v>
      </c>
      <c r="Y320" s="682">
        <v>24750</v>
      </c>
      <c r="Z320" s="682">
        <v>24950</v>
      </c>
      <c r="AA320" s="682">
        <v>25200</v>
      </c>
      <c r="AB320" s="682">
        <v>25650</v>
      </c>
      <c r="AC320" s="683">
        <v>26250</v>
      </c>
      <c r="AD320" s="683">
        <v>26950</v>
      </c>
      <c r="AE320" s="683">
        <v>28350</v>
      </c>
      <c r="AF320" s="683">
        <v>28500</v>
      </c>
      <c r="AG320" s="691">
        <v>28600</v>
      </c>
      <c r="AH320" s="691"/>
    </row>
    <row r="321" spans="2:34" ht="15" x14ac:dyDescent="0.25">
      <c r="B321" s="684" t="s">
        <v>522</v>
      </c>
      <c r="C321" s="679">
        <v>12600</v>
      </c>
      <c r="D321" s="679">
        <v>13100</v>
      </c>
      <c r="E321" s="679">
        <v>13200</v>
      </c>
      <c r="F321" s="679">
        <v>13850</v>
      </c>
      <c r="G321" s="679">
        <v>14100</v>
      </c>
      <c r="H321" s="679">
        <v>14100</v>
      </c>
      <c r="I321" s="679">
        <v>14300</v>
      </c>
      <c r="J321" s="679">
        <v>15400</v>
      </c>
      <c r="K321" s="679">
        <v>15550</v>
      </c>
      <c r="L321" s="544">
        <v>16350</v>
      </c>
      <c r="M321" s="544">
        <v>16650</v>
      </c>
      <c r="N321" s="544">
        <v>17000</v>
      </c>
      <c r="O321" s="544">
        <v>17100</v>
      </c>
      <c r="P321" s="544">
        <v>19700</v>
      </c>
      <c r="Q321" s="544">
        <v>20500</v>
      </c>
      <c r="R321" s="544">
        <v>20550</v>
      </c>
      <c r="S321" s="544">
        <v>21300</v>
      </c>
      <c r="T321" s="544">
        <v>21300</v>
      </c>
      <c r="U321" s="544">
        <v>22000</v>
      </c>
      <c r="V321" s="680">
        <v>23200</v>
      </c>
      <c r="W321" s="681">
        <v>23600</v>
      </c>
      <c r="X321" s="682">
        <v>24400</v>
      </c>
      <c r="Y321" s="682">
        <v>24750</v>
      </c>
      <c r="Z321" s="682">
        <v>24950</v>
      </c>
      <c r="AA321" s="682">
        <v>25200</v>
      </c>
      <c r="AB321" s="682">
        <v>25650</v>
      </c>
      <c r="AC321" s="683">
        <v>26250</v>
      </c>
      <c r="AD321" s="683">
        <v>26950</v>
      </c>
      <c r="AE321" s="683">
        <v>28350</v>
      </c>
      <c r="AF321" s="683">
        <v>28500</v>
      </c>
      <c r="AG321" s="691">
        <v>28600</v>
      </c>
      <c r="AH321" s="691"/>
    </row>
    <row r="322" spans="2:34" ht="15" x14ac:dyDescent="0.25">
      <c r="B322" s="684" t="s">
        <v>523</v>
      </c>
      <c r="C322" s="679">
        <v>16350</v>
      </c>
      <c r="D322" s="679">
        <v>16700</v>
      </c>
      <c r="E322" s="679">
        <v>17100</v>
      </c>
      <c r="F322" s="679">
        <v>17350</v>
      </c>
      <c r="G322" s="679">
        <v>17700</v>
      </c>
      <c r="H322" s="679">
        <v>17950</v>
      </c>
      <c r="I322" s="679">
        <v>17950</v>
      </c>
      <c r="J322" s="679">
        <v>17950</v>
      </c>
      <c r="K322" s="679">
        <v>18050</v>
      </c>
      <c r="L322" s="544">
        <v>18300</v>
      </c>
      <c r="M322" s="544">
        <v>18300</v>
      </c>
      <c r="N322" s="544">
        <v>20300</v>
      </c>
      <c r="O322" s="544">
        <v>20300</v>
      </c>
      <c r="P322" s="544">
        <v>21600</v>
      </c>
      <c r="Q322" s="544">
        <v>23650</v>
      </c>
      <c r="R322" s="544">
        <v>23650</v>
      </c>
      <c r="S322" s="544">
        <v>23650</v>
      </c>
      <c r="T322" s="544">
        <v>23650</v>
      </c>
      <c r="U322" s="544">
        <v>23650</v>
      </c>
      <c r="V322" s="680">
        <v>24500</v>
      </c>
      <c r="W322" s="681">
        <v>25400</v>
      </c>
      <c r="X322" s="682">
        <v>24450</v>
      </c>
      <c r="Y322" s="682">
        <v>24800</v>
      </c>
      <c r="Z322" s="682">
        <v>26000</v>
      </c>
      <c r="AA322" s="682">
        <v>26700</v>
      </c>
      <c r="AB322" s="682">
        <v>27200</v>
      </c>
      <c r="AC322" s="683">
        <v>26250</v>
      </c>
      <c r="AD322" s="683">
        <v>26950</v>
      </c>
      <c r="AE322" s="683">
        <v>28350</v>
      </c>
      <c r="AF322" s="683">
        <v>28500</v>
      </c>
      <c r="AG322" s="691">
        <v>29300</v>
      </c>
      <c r="AH322" s="691"/>
    </row>
    <row r="323" spans="2:34" ht="15" x14ac:dyDescent="0.25">
      <c r="B323" s="684" t="s">
        <v>524</v>
      </c>
      <c r="C323" s="679">
        <v>16350</v>
      </c>
      <c r="D323" s="679">
        <v>16700</v>
      </c>
      <c r="E323" s="679">
        <v>17100</v>
      </c>
      <c r="F323" s="679">
        <v>16750</v>
      </c>
      <c r="G323" s="679">
        <v>16400</v>
      </c>
      <c r="H323" s="679">
        <v>16650</v>
      </c>
      <c r="I323" s="679">
        <v>16650</v>
      </c>
      <c r="J323" s="679">
        <v>16750</v>
      </c>
      <c r="K323" s="679">
        <v>17150</v>
      </c>
      <c r="L323" s="544">
        <v>17400</v>
      </c>
      <c r="M323" s="544">
        <v>17400</v>
      </c>
      <c r="N323" s="544">
        <v>20400</v>
      </c>
      <c r="O323" s="544">
        <v>20750</v>
      </c>
      <c r="P323" s="544">
        <v>25350</v>
      </c>
      <c r="Q323" s="544">
        <v>26650</v>
      </c>
      <c r="R323" s="544">
        <v>26650</v>
      </c>
      <c r="S323" s="544">
        <v>26650</v>
      </c>
      <c r="T323" s="544">
        <v>26650</v>
      </c>
      <c r="U323" s="544">
        <v>26850</v>
      </c>
      <c r="V323" s="680">
        <v>28200</v>
      </c>
      <c r="W323" s="681">
        <v>28700</v>
      </c>
      <c r="X323" s="682">
        <v>30100</v>
      </c>
      <c r="Y323" s="682">
        <v>30700</v>
      </c>
      <c r="Z323" s="682">
        <v>30200</v>
      </c>
      <c r="AA323" s="682">
        <v>30700</v>
      </c>
      <c r="AB323" s="682">
        <v>32100</v>
      </c>
      <c r="AC323" s="683">
        <v>31600</v>
      </c>
      <c r="AD323" s="683">
        <v>32950</v>
      </c>
      <c r="AE323" s="683">
        <v>34600</v>
      </c>
      <c r="AF323" s="683">
        <v>37250</v>
      </c>
      <c r="AG323" s="691">
        <v>37750</v>
      </c>
      <c r="AH323" s="691"/>
    </row>
    <row r="324" spans="2:34" ht="15" x14ac:dyDescent="0.25">
      <c r="B324" s="684" t="s">
        <v>525</v>
      </c>
      <c r="C324" s="679">
        <v>12600</v>
      </c>
      <c r="D324" s="679">
        <v>13100</v>
      </c>
      <c r="E324" s="679">
        <v>13200</v>
      </c>
      <c r="F324" s="679">
        <v>13850</v>
      </c>
      <c r="G324" s="679">
        <v>14100</v>
      </c>
      <c r="H324" s="679">
        <v>14100</v>
      </c>
      <c r="I324" s="679">
        <v>14300</v>
      </c>
      <c r="J324" s="679">
        <v>15400</v>
      </c>
      <c r="K324" s="679">
        <v>15550</v>
      </c>
      <c r="L324" s="544">
        <v>16350</v>
      </c>
      <c r="M324" s="544">
        <v>16650</v>
      </c>
      <c r="N324" s="544">
        <v>17000</v>
      </c>
      <c r="O324" s="544">
        <v>17100</v>
      </c>
      <c r="P324" s="544">
        <v>19700</v>
      </c>
      <c r="Q324" s="544">
        <v>20500</v>
      </c>
      <c r="R324" s="544">
        <v>20550</v>
      </c>
      <c r="S324" s="544">
        <v>21300</v>
      </c>
      <c r="T324" s="544">
        <v>21300</v>
      </c>
      <c r="U324" s="544">
        <v>22000</v>
      </c>
      <c r="V324" s="680">
        <v>23200</v>
      </c>
      <c r="W324" s="681">
        <v>23600</v>
      </c>
      <c r="X324" s="682">
        <v>24400</v>
      </c>
      <c r="Y324" s="682">
        <v>24750</v>
      </c>
      <c r="Z324" s="682">
        <v>24950</v>
      </c>
      <c r="AA324" s="682">
        <v>25200</v>
      </c>
      <c r="AB324" s="682">
        <v>25650</v>
      </c>
      <c r="AC324" s="683">
        <v>26250</v>
      </c>
      <c r="AD324" s="683">
        <v>26950</v>
      </c>
      <c r="AE324" s="683">
        <v>28350</v>
      </c>
      <c r="AF324" s="683">
        <v>28500</v>
      </c>
      <c r="AG324" s="691">
        <v>28600</v>
      </c>
      <c r="AH324" s="691"/>
    </row>
    <row r="325" spans="2:34" ht="15" x14ac:dyDescent="0.25">
      <c r="B325" s="684" t="s">
        <v>526</v>
      </c>
      <c r="C325" s="679">
        <v>12600</v>
      </c>
      <c r="D325" s="679">
        <v>13100</v>
      </c>
      <c r="E325" s="679">
        <v>13200</v>
      </c>
      <c r="F325" s="679">
        <v>13850</v>
      </c>
      <c r="G325" s="679">
        <v>14100</v>
      </c>
      <c r="H325" s="679">
        <v>14100</v>
      </c>
      <c r="I325" s="679">
        <v>14300</v>
      </c>
      <c r="J325" s="679">
        <v>15400</v>
      </c>
      <c r="K325" s="679">
        <v>15550</v>
      </c>
      <c r="L325" s="544">
        <v>16350</v>
      </c>
      <c r="M325" s="544">
        <v>16650</v>
      </c>
      <c r="N325" s="544">
        <v>17000</v>
      </c>
      <c r="O325" s="544">
        <v>17100</v>
      </c>
      <c r="P325" s="544">
        <v>19700</v>
      </c>
      <c r="Q325" s="544">
        <v>20500</v>
      </c>
      <c r="R325" s="544">
        <v>20550</v>
      </c>
      <c r="S325" s="544">
        <v>21300</v>
      </c>
      <c r="T325" s="544">
        <v>21300</v>
      </c>
      <c r="U325" s="544">
        <v>22000</v>
      </c>
      <c r="V325" s="680">
        <v>23200</v>
      </c>
      <c r="W325" s="681">
        <v>23600</v>
      </c>
      <c r="X325" s="682">
        <v>24750</v>
      </c>
      <c r="Y325" s="682">
        <v>25650</v>
      </c>
      <c r="Z325" s="682">
        <v>25950</v>
      </c>
      <c r="AA325" s="682">
        <v>26850</v>
      </c>
      <c r="AB325" s="682">
        <v>26100</v>
      </c>
      <c r="AC325" s="683">
        <v>26250</v>
      </c>
      <c r="AD325" s="683">
        <v>26950</v>
      </c>
      <c r="AE325" s="683">
        <v>28350</v>
      </c>
      <c r="AF325" s="683">
        <v>28500</v>
      </c>
      <c r="AG325" s="691">
        <v>28600</v>
      </c>
      <c r="AH325" s="691"/>
    </row>
    <row r="326" spans="2:34" ht="15" x14ac:dyDescent="0.25">
      <c r="B326" s="684" t="s">
        <v>527</v>
      </c>
      <c r="C326" s="679">
        <v>12600</v>
      </c>
      <c r="D326" s="679">
        <v>13100</v>
      </c>
      <c r="E326" s="679">
        <v>13200</v>
      </c>
      <c r="F326" s="679">
        <v>13850</v>
      </c>
      <c r="G326" s="679">
        <v>14100</v>
      </c>
      <c r="H326" s="679">
        <v>14100</v>
      </c>
      <c r="I326" s="679">
        <v>14300</v>
      </c>
      <c r="J326" s="679">
        <v>15400</v>
      </c>
      <c r="K326" s="679">
        <v>15550</v>
      </c>
      <c r="L326" s="544">
        <v>16350</v>
      </c>
      <c r="M326" s="544">
        <v>16650</v>
      </c>
      <c r="N326" s="544">
        <v>17000</v>
      </c>
      <c r="O326" s="544">
        <v>17100</v>
      </c>
      <c r="P326" s="544">
        <v>19700</v>
      </c>
      <c r="Q326" s="544">
        <v>20500</v>
      </c>
      <c r="R326" s="544">
        <v>20550</v>
      </c>
      <c r="S326" s="544">
        <v>20550</v>
      </c>
      <c r="T326" s="544">
        <v>20550</v>
      </c>
      <c r="U326" s="544">
        <v>21000</v>
      </c>
      <c r="V326" s="680">
        <v>21750</v>
      </c>
      <c r="W326" s="681">
        <v>22050</v>
      </c>
      <c r="X326" s="682">
        <v>23100</v>
      </c>
      <c r="Y326" s="682">
        <v>23400</v>
      </c>
      <c r="Z326" s="682">
        <v>23150</v>
      </c>
      <c r="AA326" s="682">
        <v>23250</v>
      </c>
      <c r="AB326" s="682">
        <v>23400</v>
      </c>
      <c r="AC326" s="683">
        <v>22800</v>
      </c>
      <c r="AD326" s="683">
        <v>24350</v>
      </c>
      <c r="AE326" s="683">
        <v>27100</v>
      </c>
      <c r="AF326" s="683">
        <v>28500</v>
      </c>
      <c r="AG326" s="691">
        <v>28600</v>
      </c>
      <c r="AH326" s="691"/>
    </row>
    <row r="327" spans="2:34" ht="15" x14ac:dyDescent="0.25">
      <c r="B327" s="684" t="s">
        <v>528</v>
      </c>
      <c r="C327" s="679">
        <v>12700</v>
      </c>
      <c r="D327" s="679">
        <v>13250</v>
      </c>
      <c r="E327" s="679">
        <v>13900</v>
      </c>
      <c r="F327" s="679">
        <v>15200</v>
      </c>
      <c r="G327" s="679">
        <v>15250</v>
      </c>
      <c r="H327" s="679">
        <v>15450</v>
      </c>
      <c r="I327" s="679">
        <v>15450</v>
      </c>
      <c r="J327" s="679">
        <v>16400</v>
      </c>
      <c r="K327" s="679">
        <v>16750</v>
      </c>
      <c r="L327" s="544">
        <v>17000</v>
      </c>
      <c r="M327" s="544">
        <v>17000</v>
      </c>
      <c r="N327" s="544">
        <v>19600</v>
      </c>
      <c r="O327" s="544">
        <v>19600</v>
      </c>
      <c r="P327" s="544">
        <v>20650</v>
      </c>
      <c r="Q327" s="544">
        <v>21800</v>
      </c>
      <c r="R327" s="544">
        <v>21800</v>
      </c>
      <c r="S327" s="544">
        <v>21900</v>
      </c>
      <c r="T327" s="544">
        <v>21900</v>
      </c>
      <c r="U327" s="544">
        <v>22500</v>
      </c>
      <c r="V327" s="680">
        <v>23700</v>
      </c>
      <c r="W327" s="681">
        <v>24500</v>
      </c>
      <c r="X327" s="682">
        <v>24800</v>
      </c>
      <c r="Y327" s="682">
        <v>25150</v>
      </c>
      <c r="Z327" s="682">
        <v>26400</v>
      </c>
      <c r="AA327" s="682">
        <v>27000</v>
      </c>
      <c r="AB327" s="682">
        <v>28050</v>
      </c>
      <c r="AC327" s="683">
        <v>27450</v>
      </c>
      <c r="AD327" s="683">
        <v>28000</v>
      </c>
      <c r="AE327" s="683">
        <v>29100</v>
      </c>
      <c r="AF327" s="683">
        <v>29900</v>
      </c>
      <c r="AG327" s="691">
        <v>30800</v>
      </c>
      <c r="AH327" s="691"/>
    </row>
    <row r="328" spans="2:34" ht="15" x14ac:dyDescent="0.25">
      <c r="B328" s="684" t="s">
        <v>529</v>
      </c>
      <c r="C328" s="679">
        <v>17000</v>
      </c>
      <c r="D328" s="679">
        <v>17250</v>
      </c>
      <c r="E328" s="679">
        <v>17250</v>
      </c>
      <c r="F328" s="679">
        <v>18650</v>
      </c>
      <c r="G328" s="679">
        <v>18650</v>
      </c>
      <c r="H328" s="679">
        <v>18700</v>
      </c>
      <c r="I328" s="679">
        <v>19150</v>
      </c>
      <c r="J328" s="679">
        <v>20400</v>
      </c>
      <c r="K328" s="679">
        <v>20650</v>
      </c>
      <c r="L328" s="544">
        <v>21650</v>
      </c>
      <c r="M328" s="544">
        <v>22050</v>
      </c>
      <c r="N328" s="544">
        <v>22700</v>
      </c>
      <c r="O328" s="544">
        <v>23000</v>
      </c>
      <c r="P328" s="544">
        <v>25550</v>
      </c>
      <c r="Q328" s="544">
        <v>26050</v>
      </c>
      <c r="R328" s="544">
        <v>26300</v>
      </c>
      <c r="S328" s="544">
        <v>26950</v>
      </c>
      <c r="T328" s="544">
        <v>26950</v>
      </c>
      <c r="U328" s="544">
        <v>27650</v>
      </c>
      <c r="V328" s="680">
        <v>29250</v>
      </c>
      <c r="W328" s="681">
        <v>29700</v>
      </c>
      <c r="X328" s="682">
        <v>30300</v>
      </c>
      <c r="Y328" s="682">
        <v>30750</v>
      </c>
      <c r="Z328" s="682">
        <v>30000</v>
      </c>
      <c r="AA328" s="682">
        <v>30700</v>
      </c>
      <c r="AB328" s="682">
        <v>32250</v>
      </c>
      <c r="AC328" s="683">
        <v>32200</v>
      </c>
      <c r="AD328" s="683">
        <v>33650</v>
      </c>
      <c r="AE328" s="683">
        <v>34700</v>
      </c>
      <c r="AF328" s="683">
        <v>36900</v>
      </c>
      <c r="AG328" s="691">
        <v>37200</v>
      </c>
      <c r="AH328" s="691"/>
    </row>
    <row r="329" spans="2:34" ht="15" x14ac:dyDescent="0.25">
      <c r="B329" s="684" t="s">
        <v>530</v>
      </c>
      <c r="C329" s="679">
        <v>12800</v>
      </c>
      <c r="D329" s="679">
        <v>13250</v>
      </c>
      <c r="E329" s="679">
        <v>13250</v>
      </c>
      <c r="F329" s="679">
        <v>14800</v>
      </c>
      <c r="G329" s="679">
        <v>15150</v>
      </c>
      <c r="H329" s="679">
        <v>15250</v>
      </c>
      <c r="I329" s="679">
        <v>15450</v>
      </c>
      <c r="J329" s="679">
        <v>15450</v>
      </c>
      <c r="K329" s="679">
        <v>15550</v>
      </c>
      <c r="L329" s="544">
        <v>16400</v>
      </c>
      <c r="M329" s="544">
        <v>16900</v>
      </c>
      <c r="N329" s="544">
        <v>17300</v>
      </c>
      <c r="O329" s="544">
        <v>17300</v>
      </c>
      <c r="P329" s="544">
        <v>23550</v>
      </c>
      <c r="Q329" s="544">
        <v>24550</v>
      </c>
      <c r="R329" s="544">
        <v>24550</v>
      </c>
      <c r="S329" s="544">
        <v>24550</v>
      </c>
      <c r="T329" s="544">
        <v>24550</v>
      </c>
      <c r="U329" s="544">
        <v>24550</v>
      </c>
      <c r="V329" s="680">
        <v>24950</v>
      </c>
      <c r="W329" s="681">
        <v>25400</v>
      </c>
      <c r="X329" s="682">
        <v>25850</v>
      </c>
      <c r="Y329" s="682">
        <v>26200</v>
      </c>
      <c r="Z329" s="682">
        <v>26200</v>
      </c>
      <c r="AA329" s="682">
        <v>26700</v>
      </c>
      <c r="AB329" s="682">
        <v>26550</v>
      </c>
      <c r="AC329" s="683">
        <v>26250</v>
      </c>
      <c r="AD329" s="683">
        <v>27700</v>
      </c>
      <c r="AE329" s="683">
        <v>28350</v>
      </c>
      <c r="AF329" s="683">
        <v>28500</v>
      </c>
      <c r="AG329" s="691">
        <v>30100</v>
      </c>
      <c r="AH329" s="691"/>
    </row>
    <row r="330" spans="2:34" ht="15" x14ac:dyDescent="0.25">
      <c r="B330" s="684" t="s">
        <v>531</v>
      </c>
      <c r="C330" s="679">
        <v>17000</v>
      </c>
      <c r="D330" s="679">
        <v>17250</v>
      </c>
      <c r="E330" s="679">
        <v>17250</v>
      </c>
      <c r="F330" s="679">
        <v>18650</v>
      </c>
      <c r="G330" s="679">
        <v>18650</v>
      </c>
      <c r="H330" s="679">
        <v>18700</v>
      </c>
      <c r="I330" s="679">
        <v>19150</v>
      </c>
      <c r="J330" s="679">
        <v>20400</v>
      </c>
      <c r="K330" s="679">
        <v>20650</v>
      </c>
      <c r="L330" s="544">
        <v>21650</v>
      </c>
      <c r="M330" s="544">
        <v>22050</v>
      </c>
      <c r="N330" s="544">
        <v>22700</v>
      </c>
      <c r="O330" s="544">
        <v>23000</v>
      </c>
      <c r="P330" s="544">
        <v>25550</v>
      </c>
      <c r="Q330" s="544">
        <v>26050</v>
      </c>
      <c r="R330" s="544">
        <v>26300</v>
      </c>
      <c r="S330" s="544">
        <v>26950</v>
      </c>
      <c r="T330" s="544">
        <v>26950</v>
      </c>
      <c r="U330" s="544">
        <v>27650</v>
      </c>
      <c r="V330" s="680">
        <v>29250</v>
      </c>
      <c r="W330" s="681">
        <v>29700</v>
      </c>
      <c r="X330" s="682">
        <v>30300</v>
      </c>
      <c r="Y330" s="682">
        <v>30750</v>
      </c>
      <c r="Z330" s="682">
        <v>30000</v>
      </c>
      <c r="AA330" s="682">
        <v>30700</v>
      </c>
      <c r="AB330" s="682">
        <v>32250</v>
      </c>
      <c r="AC330" s="683">
        <v>32200</v>
      </c>
      <c r="AD330" s="683">
        <v>33650</v>
      </c>
      <c r="AE330" s="683">
        <v>34700</v>
      </c>
      <c r="AF330" s="683">
        <v>36900</v>
      </c>
      <c r="AG330" s="691">
        <v>37200</v>
      </c>
      <c r="AH330" s="691"/>
    </row>
    <row r="331" spans="2:34" ht="15" x14ac:dyDescent="0.25">
      <c r="B331" s="684" t="s">
        <v>532</v>
      </c>
      <c r="C331" s="679">
        <v>12600</v>
      </c>
      <c r="D331" s="679">
        <v>13100</v>
      </c>
      <c r="E331" s="679">
        <v>13200</v>
      </c>
      <c r="F331" s="679">
        <v>13850</v>
      </c>
      <c r="G331" s="679">
        <v>14100</v>
      </c>
      <c r="H331" s="679">
        <v>14100</v>
      </c>
      <c r="I331" s="679">
        <v>14300</v>
      </c>
      <c r="J331" s="679">
        <v>15400</v>
      </c>
      <c r="K331" s="679">
        <v>15550</v>
      </c>
      <c r="L331" s="544">
        <v>16350</v>
      </c>
      <c r="M331" s="544">
        <v>16650</v>
      </c>
      <c r="N331" s="544">
        <v>17000</v>
      </c>
      <c r="O331" s="544">
        <v>17100</v>
      </c>
      <c r="P331" s="544">
        <v>19700</v>
      </c>
      <c r="Q331" s="544">
        <v>20500</v>
      </c>
      <c r="R331" s="544">
        <v>20550</v>
      </c>
      <c r="S331" s="544">
        <v>21300</v>
      </c>
      <c r="T331" s="544">
        <v>21300</v>
      </c>
      <c r="U331" s="544">
        <v>22000</v>
      </c>
      <c r="V331" s="680">
        <v>23200</v>
      </c>
      <c r="W331" s="681">
        <v>23600</v>
      </c>
      <c r="X331" s="682">
        <v>24400</v>
      </c>
      <c r="Y331" s="682">
        <v>24750</v>
      </c>
      <c r="Z331" s="682">
        <v>24950</v>
      </c>
      <c r="AA331" s="682">
        <v>25200</v>
      </c>
      <c r="AB331" s="682">
        <v>25650</v>
      </c>
      <c r="AC331" s="683">
        <v>26250</v>
      </c>
      <c r="AD331" s="683">
        <v>26950</v>
      </c>
      <c r="AE331" s="683">
        <v>28350</v>
      </c>
      <c r="AF331" s="683">
        <v>28500</v>
      </c>
      <c r="AG331" s="691">
        <v>28600</v>
      </c>
      <c r="AH331" s="691"/>
    </row>
    <row r="332" spans="2:34" ht="15" x14ac:dyDescent="0.25">
      <c r="B332" s="684" t="s">
        <v>533</v>
      </c>
      <c r="C332" s="679">
        <v>12600</v>
      </c>
      <c r="D332" s="679">
        <v>13100</v>
      </c>
      <c r="E332" s="679">
        <v>13200</v>
      </c>
      <c r="F332" s="679">
        <v>13850</v>
      </c>
      <c r="G332" s="679">
        <v>14100</v>
      </c>
      <c r="H332" s="679">
        <v>14100</v>
      </c>
      <c r="I332" s="679">
        <v>14300</v>
      </c>
      <c r="J332" s="679">
        <v>15400</v>
      </c>
      <c r="K332" s="679">
        <v>15550</v>
      </c>
      <c r="L332" s="544">
        <v>16350</v>
      </c>
      <c r="M332" s="544">
        <v>16650</v>
      </c>
      <c r="N332" s="544">
        <v>17000</v>
      </c>
      <c r="O332" s="544">
        <v>17100</v>
      </c>
      <c r="P332" s="544">
        <v>19700</v>
      </c>
      <c r="Q332" s="544">
        <v>20500</v>
      </c>
      <c r="R332" s="544">
        <v>20550</v>
      </c>
      <c r="S332" s="544">
        <v>21300</v>
      </c>
      <c r="T332" s="544">
        <v>21300</v>
      </c>
      <c r="U332" s="544">
        <v>22000</v>
      </c>
      <c r="V332" s="680">
        <v>23200</v>
      </c>
      <c r="W332" s="681">
        <v>23600</v>
      </c>
      <c r="X332" s="682">
        <v>24400</v>
      </c>
      <c r="Y332" s="682">
        <v>24750</v>
      </c>
      <c r="Z332" s="682">
        <v>24950</v>
      </c>
      <c r="AA332" s="682">
        <v>25200</v>
      </c>
      <c r="AB332" s="682">
        <v>25650</v>
      </c>
      <c r="AC332" s="683">
        <v>26250</v>
      </c>
      <c r="AD332" s="683">
        <v>26950</v>
      </c>
      <c r="AE332" s="683">
        <v>28350</v>
      </c>
      <c r="AF332" s="683">
        <v>28500</v>
      </c>
      <c r="AG332" s="691">
        <v>28600</v>
      </c>
      <c r="AH332" s="691"/>
    </row>
    <row r="333" spans="2:34" ht="15" x14ac:dyDescent="0.25">
      <c r="B333" s="684" t="s">
        <v>534</v>
      </c>
      <c r="C333" s="679">
        <v>13200</v>
      </c>
      <c r="D333" s="679">
        <v>13650</v>
      </c>
      <c r="E333" s="679">
        <v>13650</v>
      </c>
      <c r="F333" s="679">
        <v>16300</v>
      </c>
      <c r="G333" s="679">
        <v>16100</v>
      </c>
      <c r="H333" s="679">
        <v>16300</v>
      </c>
      <c r="I333" s="679">
        <v>16300</v>
      </c>
      <c r="J333" s="679">
        <v>16400</v>
      </c>
      <c r="K333" s="679">
        <v>16750</v>
      </c>
      <c r="L333" s="544">
        <v>17000</v>
      </c>
      <c r="M333" s="544">
        <v>17000</v>
      </c>
      <c r="N333" s="544">
        <v>19950</v>
      </c>
      <c r="O333" s="544">
        <v>19950</v>
      </c>
      <c r="P333" s="544">
        <v>21450</v>
      </c>
      <c r="Q333" s="544">
        <v>22450</v>
      </c>
      <c r="R333" s="544">
        <v>22450</v>
      </c>
      <c r="S333" s="544">
        <v>22450</v>
      </c>
      <c r="T333" s="544">
        <v>22450</v>
      </c>
      <c r="U333" s="544">
        <v>23000</v>
      </c>
      <c r="V333" s="680">
        <v>24050</v>
      </c>
      <c r="W333" s="681">
        <v>24500</v>
      </c>
      <c r="X333" s="682">
        <v>25700</v>
      </c>
      <c r="Y333" s="682">
        <v>26950</v>
      </c>
      <c r="Z333" s="682">
        <v>28250</v>
      </c>
      <c r="AA333" s="682">
        <v>29450</v>
      </c>
      <c r="AB333" s="682">
        <v>29150</v>
      </c>
      <c r="AC333" s="683">
        <v>30600</v>
      </c>
      <c r="AD333" s="683">
        <v>30700</v>
      </c>
      <c r="AE333" s="683">
        <v>33600</v>
      </c>
      <c r="AF333" s="683">
        <v>33350</v>
      </c>
      <c r="AG333" s="691">
        <v>34000</v>
      </c>
      <c r="AH333" s="691"/>
    </row>
    <row r="334" spans="2:34" ht="15" x14ac:dyDescent="0.25">
      <c r="B334" s="684" t="s">
        <v>535</v>
      </c>
      <c r="C334" s="679">
        <v>12600</v>
      </c>
      <c r="D334" s="679">
        <v>13100</v>
      </c>
      <c r="E334" s="679">
        <v>13200</v>
      </c>
      <c r="F334" s="679">
        <v>13850</v>
      </c>
      <c r="G334" s="679">
        <v>14100</v>
      </c>
      <c r="H334" s="679">
        <v>14100</v>
      </c>
      <c r="I334" s="679">
        <v>14300</v>
      </c>
      <c r="J334" s="679">
        <v>15400</v>
      </c>
      <c r="K334" s="679">
        <v>15550</v>
      </c>
      <c r="L334" s="544">
        <v>16350</v>
      </c>
      <c r="M334" s="544">
        <v>16650</v>
      </c>
      <c r="N334" s="544">
        <v>17000</v>
      </c>
      <c r="O334" s="544">
        <v>17100</v>
      </c>
      <c r="P334" s="544">
        <v>19700</v>
      </c>
      <c r="Q334" s="544">
        <v>20500</v>
      </c>
      <c r="R334" s="544">
        <v>20550</v>
      </c>
      <c r="S334" s="544">
        <v>21300</v>
      </c>
      <c r="T334" s="544">
        <v>21300</v>
      </c>
      <c r="U334" s="544">
        <v>22000</v>
      </c>
      <c r="V334" s="680">
        <v>23200</v>
      </c>
      <c r="W334" s="681">
        <v>23600</v>
      </c>
      <c r="X334" s="682">
        <v>24400</v>
      </c>
      <c r="Y334" s="682">
        <v>24750</v>
      </c>
      <c r="Z334" s="682">
        <v>25700</v>
      </c>
      <c r="AA334" s="682">
        <v>25200</v>
      </c>
      <c r="AB334" s="682">
        <v>25950</v>
      </c>
      <c r="AC334" s="683">
        <v>26250</v>
      </c>
      <c r="AD334" s="683">
        <v>26950</v>
      </c>
      <c r="AE334" s="683">
        <v>28350</v>
      </c>
      <c r="AF334" s="683">
        <v>28500</v>
      </c>
      <c r="AG334" s="691">
        <v>28600</v>
      </c>
      <c r="AH334" s="691"/>
    </row>
    <row r="335" spans="2:34" ht="15" x14ac:dyDescent="0.25">
      <c r="B335" s="684" t="s">
        <v>536</v>
      </c>
      <c r="C335" s="679">
        <v>13950</v>
      </c>
      <c r="D335" s="679">
        <v>14000</v>
      </c>
      <c r="E335" s="679">
        <v>14000</v>
      </c>
      <c r="F335" s="679">
        <v>14400</v>
      </c>
      <c r="G335" s="679">
        <v>14400</v>
      </c>
      <c r="H335" s="679">
        <v>14400</v>
      </c>
      <c r="I335" s="679">
        <v>14450</v>
      </c>
      <c r="J335" s="679">
        <v>15750</v>
      </c>
      <c r="K335" s="679">
        <v>15550</v>
      </c>
      <c r="L335" s="544">
        <v>16350</v>
      </c>
      <c r="M335" s="544">
        <v>17850</v>
      </c>
      <c r="N335" s="544">
        <v>18650</v>
      </c>
      <c r="O335" s="544">
        <v>18650</v>
      </c>
      <c r="P335" s="544">
        <v>20250</v>
      </c>
      <c r="Q335" s="544">
        <v>21700</v>
      </c>
      <c r="R335" s="544">
        <v>21700</v>
      </c>
      <c r="S335" s="544">
        <v>22300</v>
      </c>
      <c r="T335" s="544">
        <v>22300</v>
      </c>
      <c r="U335" s="544">
        <v>22800</v>
      </c>
      <c r="V335" s="680">
        <v>24300</v>
      </c>
      <c r="W335" s="681">
        <v>24850</v>
      </c>
      <c r="X335" s="682">
        <v>25100</v>
      </c>
      <c r="Y335" s="682">
        <v>25450</v>
      </c>
      <c r="Z335" s="682">
        <v>26700</v>
      </c>
      <c r="AA335" s="682">
        <v>27300</v>
      </c>
      <c r="AB335" s="682">
        <v>27250</v>
      </c>
      <c r="AC335" s="683">
        <v>27050</v>
      </c>
      <c r="AD335" s="683">
        <v>27250</v>
      </c>
      <c r="AE335" s="683">
        <v>28350</v>
      </c>
      <c r="AF335" s="683">
        <v>28500</v>
      </c>
      <c r="AG335" s="691">
        <v>29600</v>
      </c>
      <c r="AH335" s="691"/>
    </row>
    <row r="336" spans="2:34" ht="15" x14ac:dyDescent="0.25">
      <c r="B336" s="684" t="s">
        <v>537</v>
      </c>
      <c r="C336" s="679">
        <v>12600</v>
      </c>
      <c r="D336" s="679">
        <v>13100</v>
      </c>
      <c r="E336" s="679">
        <v>13200</v>
      </c>
      <c r="F336" s="679">
        <v>13850</v>
      </c>
      <c r="G336" s="679">
        <v>14100</v>
      </c>
      <c r="H336" s="679">
        <v>14100</v>
      </c>
      <c r="I336" s="679">
        <v>14300</v>
      </c>
      <c r="J336" s="679">
        <v>15400</v>
      </c>
      <c r="K336" s="679">
        <v>15550</v>
      </c>
      <c r="L336" s="544">
        <v>16350</v>
      </c>
      <c r="M336" s="544">
        <v>16650</v>
      </c>
      <c r="N336" s="544">
        <v>17000</v>
      </c>
      <c r="O336" s="544">
        <v>17100</v>
      </c>
      <c r="P336" s="544">
        <v>20750</v>
      </c>
      <c r="Q336" s="544">
        <v>21750</v>
      </c>
      <c r="R336" s="544">
        <v>21750</v>
      </c>
      <c r="S336" s="544">
        <v>22300</v>
      </c>
      <c r="T336" s="544">
        <v>22300</v>
      </c>
      <c r="U336" s="544">
        <v>22650</v>
      </c>
      <c r="V336" s="680">
        <v>24350</v>
      </c>
      <c r="W336" s="681">
        <v>24800</v>
      </c>
      <c r="X336" s="682">
        <v>26000</v>
      </c>
      <c r="Y336" s="682">
        <v>26650</v>
      </c>
      <c r="Z336" s="682">
        <v>25350</v>
      </c>
      <c r="AA336" s="682">
        <v>25200</v>
      </c>
      <c r="AB336" s="682">
        <v>26650</v>
      </c>
      <c r="AC336" s="683">
        <v>27350</v>
      </c>
      <c r="AD336" s="683">
        <v>29250</v>
      </c>
      <c r="AE336" s="683">
        <v>30600</v>
      </c>
      <c r="AF336" s="683">
        <v>32850</v>
      </c>
      <c r="AG336" s="691">
        <v>32650</v>
      </c>
      <c r="AH336" s="691"/>
    </row>
    <row r="337" spans="2:34" ht="15" x14ac:dyDescent="0.25">
      <c r="B337" s="684" t="s">
        <v>538</v>
      </c>
      <c r="C337" s="679">
        <v>13200</v>
      </c>
      <c r="D337" s="679">
        <v>13300</v>
      </c>
      <c r="E337" s="679">
        <v>13300</v>
      </c>
      <c r="F337" s="679">
        <v>14500</v>
      </c>
      <c r="G337" s="679">
        <v>14550</v>
      </c>
      <c r="H337" s="679">
        <v>14600</v>
      </c>
      <c r="I337" s="679">
        <v>14750</v>
      </c>
      <c r="J337" s="679">
        <v>15900</v>
      </c>
      <c r="K337" s="679">
        <v>16050</v>
      </c>
      <c r="L337" s="544">
        <v>17000</v>
      </c>
      <c r="M337" s="544">
        <v>17000</v>
      </c>
      <c r="N337" s="544">
        <v>17300</v>
      </c>
      <c r="O337" s="544">
        <v>17950</v>
      </c>
      <c r="P337" s="544">
        <v>19700</v>
      </c>
      <c r="Q337" s="544">
        <v>20500</v>
      </c>
      <c r="R337" s="544">
        <v>20550</v>
      </c>
      <c r="S337" s="544">
        <v>21300</v>
      </c>
      <c r="T337" s="544">
        <v>21300</v>
      </c>
      <c r="U337" s="544">
        <v>22200</v>
      </c>
      <c r="V337" s="680">
        <v>23200</v>
      </c>
      <c r="W337" s="681">
        <v>23600</v>
      </c>
      <c r="X337" s="682">
        <v>24400</v>
      </c>
      <c r="Y337" s="682">
        <v>24750</v>
      </c>
      <c r="Z337" s="682">
        <v>24950</v>
      </c>
      <c r="AA337" s="682">
        <v>25200</v>
      </c>
      <c r="AB337" s="682">
        <v>25650</v>
      </c>
      <c r="AC337" s="683">
        <v>26250</v>
      </c>
      <c r="AD337" s="683">
        <v>26950</v>
      </c>
      <c r="AE337" s="683">
        <v>28350</v>
      </c>
      <c r="AF337" s="683">
        <v>28500</v>
      </c>
      <c r="AG337" s="691">
        <v>28600</v>
      </c>
      <c r="AH337" s="691"/>
    </row>
    <row r="338" spans="2:34" ht="15" x14ac:dyDescent="0.25">
      <c r="B338" s="684" t="s">
        <v>539</v>
      </c>
      <c r="C338" s="679">
        <v>14900</v>
      </c>
      <c r="D338" s="679">
        <v>15250</v>
      </c>
      <c r="E338" s="679">
        <v>15600</v>
      </c>
      <c r="F338" s="679">
        <v>17050</v>
      </c>
      <c r="G338" s="679">
        <v>14900</v>
      </c>
      <c r="H338" s="679">
        <v>15050</v>
      </c>
      <c r="I338" s="679">
        <v>16250</v>
      </c>
      <c r="J338" s="679">
        <v>16400</v>
      </c>
      <c r="K338" s="679">
        <v>16750</v>
      </c>
      <c r="L338" s="544">
        <v>17000</v>
      </c>
      <c r="M338" s="544">
        <v>17000</v>
      </c>
      <c r="N338" s="544">
        <v>21400</v>
      </c>
      <c r="O338" s="544">
        <v>23200</v>
      </c>
      <c r="P338" s="544">
        <v>23200</v>
      </c>
      <c r="Q338" s="544">
        <v>23200</v>
      </c>
      <c r="R338" s="544">
        <v>23200</v>
      </c>
      <c r="S338" s="544">
        <v>23600</v>
      </c>
      <c r="T338" s="544">
        <v>23850</v>
      </c>
      <c r="U338" s="544">
        <v>24450</v>
      </c>
      <c r="V338" s="680">
        <v>26200</v>
      </c>
      <c r="W338" s="681">
        <v>26700</v>
      </c>
      <c r="X338" s="682">
        <v>25800</v>
      </c>
      <c r="Y338" s="682">
        <v>26150</v>
      </c>
      <c r="Z338" s="682">
        <v>27250</v>
      </c>
      <c r="AA338" s="682">
        <v>26600</v>
      </c>
      <c r="AB338" s="682">
        <v>28150</v>
      </c>
      <c r="AC338" s="683">
        <v>28250</v>
      </c>
      <c r="AD338" s="683">
        <v>29150</v>
      </c>
      <c r="AE338" s="683">
        <v>31850</v>
      </c>
      <c r="AF338" s="683">
        <v>33200</v>
      </c>
      <c r="AG338" s="691">
        <v>34000</v>
      </c>
      <c r="AH338" s="691"/>
    </row>
    <row r="339" spans="2:34" ht="15" x14ac:dyDescent="0.25">
      <c r="B339" s="684" t="s">
        <v>540</v>
      </c>
      <c r="C339" s="679">
        <v>12650</v>
      </c>
      <c r="D339" s="679">
        <v>13100</v>
      </c>
      <c r="E339" s="679">
        <v>13200</v>
      </c>
      <c r="F339" s="679">
        <v>13850</v>
      </c>
      <c r="G339" s="679">
        <v>14100</v>
      </c>
      <c r="H339" s="679">
        <v>14100</v>
      </c>
      <c r="I339" s="679">
        <v>14300</v>
      </c>
      <c r="J339" s="679">
        <v>15400</v>
      </c>
      <c r="K339" s="679">
        <v>15550</v>
      </c>
      <c r="L339" s="544">
        <v>16400</v>
      </c>
      <c r="M339" s="544">
        <v>16650</v>
      </c>
      <c r="N339" s="544">
        <v>17000</v>
      </c>
      <c r="O339" s="544">
        <v>17100</v>
      </c>
      <c r="P339" s="544">
        <v>20950</v>
      </c>
      <c r="Q339" s="544">
        <v>21750</v>
      </c>
      <c r="R339" s="544">
        <v>21750</v>
      </c>
      <c r="S339" s="544">
        <v>21750</v>
      </c>
      <c r="T339" s="544">
        <v>21750</v>
      </c>
      <c r="U339" s="544">
        <v>22550</v>
      </c>
      <c r="V339" s="680">
        <v>23700</v>
      </c>
      <c r="W339" s="681">
        <v>24150</v>
      </c>
      <c r="X339" s="682">
        <v>24550</v>
      </c>
      <c r="Y339" s="682">
        <v>24850</v>
      </c>
      <c r="Z339" s="682">
        <v>25900</v>
      </c>
      <c r="AA339" s="682">
        <v>26100</v>
      </c>
      <c r="AB339" s="682">
        <v>25650</v>
      </c>
      <c r="AC339" s="683">
        <v>26250</v>
      </c>
      <c r="AD339" s="683">
        <v>26950</v>
      </c>
      <c r="AE339" s="683">
        <v>28350</v>
      </c>
      <c r="AF339" s="683">
        <v>28500</v>
      </c>
      <c r="AG339" s="691">
        <v>28600</v>
      </c>
      <c r="AH339" s="691"/>
    </row>
    <row r="340" spans="2:34" ht="15" x14ac:dyDescent="0.25">
      <c r="B340" s="684" t="s">
        <v>541</v>
      </c>
      <c r="C340" s="679">
        <v>12600</v>
      </c>
      <c r="D340" s="679">
        <v>13100</v>
      </c>
      <c r="E340" s="679">
        <v>13200</v>
      </c>
      <c r="F340" s="679">
        <v>13850</v>
      </c>
      <c r="G340" s="679">
        <v>14100</v>
      </c>
      <c r="H340" s="679">
        <v>14100</v>
      </c>
      <c r="I340" s="679">
        <v>14300</v>
      </c>
      <c r="J340" s="679">
        <v>15400</v>
      </c>
      <c r="K340" s="679">
        <v>15550</v>
      </c>
      <c r="L340" s="544">
        <v>16350</v>
      </c>
      <c r="M340" s="544">
        <v>16650</v>
      </c>
      <c r="N340" s="544">
        <v>17000</v>
      </c>
      <c r="O340" s="544">
        <v>17100</v>
      </c>
      <c r="P340" s="544">
        <v>19700</v>
      </c>
      <c r="Q340" s="544">
        <v>20500</v>
      </c>
      <c r="R340" s="544">
        <v>20550</v>
      </c>
      <c r="S340" s="544">
        <v>21300</v>
      </c>
      <c r="T340" s="544">
        <v>21300</v>
      </c>
      <c r="U340" s="544">
        <v>22000</v>
      </c>
      <c r="V340" s="680">
        <v>23200</v>
      </c>
      <c r="W340" s="681">
        <v>23600</v>
      </c>
      <c r="X340" s="682">
        <v>24400</v>
      </c>
      <c r="Y340" s="682">
        <v>24750</v>
      </c>
      <c r="Z340" s="682">
        <v>24950</v>
      </c>
      <c r="AA340" s="682">
        <v>25200</v>
      </c>
      <c r="AB340" s="682">
        <v>25650</v>
      </c>
      <c r="AC340" s="683">
        <v>26250</v>
      </c>
      <c r="AD340" s="683">
        <v>26950</v>
      </c>
      <c r="AE340" s="683">
        <v>28350</v>
      </c>
      <c r="AF340" s="683">
        <v>28500</v>
      </c>
      <c r="AG340" s="691">
        <v>28600</v>
      </c>
      <c r="AH340" s="691"/>
    </row>
    <row r="341" spans="2:34" ht="15" x14ac:dyDescent="0.25">
      <c r="B341" s="684" t="s">
        <v>542</v>
      </c>
      <c r="C341" s="679">
        <v>17000</v>
      </c>
      <c r="D341" s="679">
        <v>17250</v>
      </c>
      <c r="E341" s="679">
        <v>17250</v>
      </c>
      <c r="F341" s="679">
        <v>18650</v>
      </c>
      <c r="G341" s="679">
        <v>18650</v>
      </c>
      <c r="H341" s="679">
        <v>18700</v>
      </c>
      <c r="I341" s="679">
        <v>19150</v>
      </c>
      <c r="J341" s="679">
        <v>20400</v>
      </c>
      <c r="K341" s="679">
        <v>20650</v>
      </c>
      <c r="L341" s="544">
        <v>21650</v>
      </c>
      <c r="M341" s="544">
        <v>22050</v>
      </c>
      <c r="N341" s="544">
        <v>22700</v>
      </c>
      <c r="O341" s="544">
        <v>23000</v>
      </c>
      <c r="P341" s="544">
        <v>25550</v>
      </c>
      <c r="Q341" s="544">
        <v>26050</v>
      </c>
      <c r="R341" s="544">
        <v>26300</v>
      </c>
      <c r="S341" s="544">
        <v>26950</v>
      </c>
      <c r="T341" s="544">
        <v>26950</v>
      </c>
      <c r="U341" s="544">
        <v>27650</v>
      </c>
      <c r="V341" s="680">
        <v>29250</v>
      </c>
      <c r="W341" s="681">
        <v>29700</v>
      </c>
      <c r="X341" s="682">
        <v>30300</v>
      </c>
      <c r="Y341" s="682">
        <v>30750</v>
      </c>
      <c r="Z341" s="682">
        <v>30000</v>
      </c>
      <c r="AA341" s="682">
        <v>30700</v>
      </c>
      <c r="AB341" s="682">
        <v>32250</v>
      </c>
      <c r="AC341" s="683">
        <v>32200</v>
      </c>
      <c r="AD341" s="683">
        <v>33650</v>
      </c>
      <c r="AE341" s="683">
        <v>34700</v>
      </c>
      <c r="AF341" s="683">
        <v>36900</v>
      </c>
      <c r="AG341" s="691">
        <v>37200</v>
      </c>
      <c r="AH341" s="691"/>
    </row>
    <row r="342" spans="2:34" ht="15" x14ac:dyDescent="0.25">
      <c r="B342" s="684" t="s">
        <v>543</v>
      </c>
      <c r="C342" s="679">
        <v>12600</v>
      </c>
      <c r="D342" s="679">
        <v>13100</v>
      </c>
      <c r="E342" s="679">
        <v>13200</v>
      </c>
      <c r="F342" s="679">
        <v>13850</v>
      </c>
      <c r="G342" s="679">
        <v>14100</v>
      </c>
      <c r="H342" s="679">
        <v>14100</v>
      </c>
      <c r="I342" s="679">
        <v>14300</v>
      </c>
      <c r="J342" s="679">
        <v>15400</v>
      </c>
      <c r="K342" s="679">
        <v>15550</v>
      </c>
      <c r="L342" s="544">
        <v>16350</v>
      </c>
      <c r="M342" s="544">
        <v>16650</v>
      </c>
      <c r="N342" s="544">
        <v>17000</v>
      </c>
      <c r="O342" s="544">
        <v>17100</v>
      </c>
      <c r="P342" s="544">
        <v>19700</v>
      </c>
      <c r="Q342" s="544">
        <v>20500</v>
      </c>
      <c r="R342" s="544">
        <v>20550</v>
      </c>
      <c r="S342" s="544">
        <v>21300</v>
      </c>
      <c r="T342" s="544">
        <v>21300</v>
      </c>
      <c r="U342" s="544">
        <v>22000</v>
      </c>
      <c r="V342" s="680">
        <v>23200</v>
      </c>
      <c r="W342" s="681">
        <v>23600</v>
      </c>
      <c r="X342" s="682">
        <v>24400</v>
      </c>
      <c r="Y342" s="682">
        <v>24750</v>
      </c>
      <c r="Z342" s="682">
        <v>24950</v>
      </c>
      <c r="AA342" s="682">
        <v>25600</v>
      </c>
      <c r="AB342" s="682">
        <v>25800</v>
      </c>
      <c r="AC342" s="683">
        <v>26250</v>
      </c>
      <c r="AD342" s="683">
        <v>26950</v>
      </c>
      <c r="AE342" s="683">
        <v>28350</v>
      </c>
      <c r="AF342" s="683">
        <v>28500</v>
      </c>
      <c r="AG342" s="691">
        <v>28600</v>
      </c>
      <c r="AH342" s="691"/>
    </row>
    <row r="343" spans="2:34" ht="15" x14ac:dyDescent="0.25">
      <c r="B343" s="684" t="s">
        <v>544</v>
      </c>
      <c r="C343" s="679">
        <v>17850</v>
      </c>
      <c r="D343" s="679">
        <v>18100</v>
      </c>
      <c r="E343" s="679">
        <v>18150</v>
      </c>
      <c r="F343" s="679">
        <v>18750</v>
      </c>
      <c r="G343" s="679">
        <v>18750</v>
      </c>
      <c r="H343" s="679">
        <v>18750</v>
      </c>
      <c r="I343" s="679">
        <v>19200</v>
      </c>
      <c r="J343" s="679">
        <v>20450</v>
      </c>
      <c r="K343" s="679">
        <v>20700</v>
      </c>
      <c r="L343" s="544">
        <v>21850</v>
      </c>
      <c r="M343" s="544">
        <v>22550</v>
      </c>
      <c r="N343" s="544">
        <v>23400</v>
      </c>
      <c r="O343" s="544">
        <v>23450</v>
      </c>
      <c r="P343" s="544">
        <v>26100</v>
      </c>
      <c r="Q343" s="544">
        <v>27250</v>
      </c>
      <c r="R343" s="544">
        <v>27250</v>
      </c>
      <c r="S343" s="544">
        <v>27250</v>
      </c>
      <c r="T343" s="544">
        <v>27250</v>
      </c>
      <c r="U343" s="544">
        <v>27350</v>
      </c>
      <c r="V343" s="680">
        <v>28800</v>
      </c>
      <c r="W343" s="681">
        <v>29650</v>
      </c>
      <c r="X343" s="682">
        <v>29800</v>
      </c>
      <c r="Y343" s="682">
        <v>30200</v>
      </c>
      <c r="Z343" s="682">
        <v>29850</v>
      </c>
      <c r="AA343" s="682">
        <v>29600</v>
      </c>
      <c r="AB343" s="682">
        <v>30700</v>
      </c>
      <c r="AC343" s="683">
        <v>30950</v>
      </c>
      <c r="AD343" s="683">
        <v>31950</v>
      </c>
      <c r="AE343" s="683">
        <v>33550</v>
      </c>
      <c r="AF343" s="683">
        <v>34850</v>
      </c>
      <c r="AG343" s="691">
        <v>34300</v>
      </c>
      <c r="AH343" s="691"/>
    </row>
    <row r="344" spans="2:34" ht="15" x14ac:dyDescent="0.25">
      <c r="B344" s="684" t="s">
        <v>545</v>
      </c>
      <c r="C344" s="679">
        <v>12600</v>
      </c>
      <c r="D344" s="679">
        <v>13100</v>
      </c>
      <c r="E344" s="679">
        <v>13200</v>
      </c>
      <c r="F344" s="679">
        <v>13850</v>
      </c>
      <c r="G344" s="679">
        <v>14100</v>
      </c>
      <c r="H344" s="679">
        <v>14100</v>
      </c>
      <c r="I344" s="679">
        <v>14300</v>
      </c>
      <c r="J344" s="679">
        <v>15400</v>
      </c>
      <c r="K344" s="679">
        <v>15550</v>
      </c>
      <c r="L344" s="544">
        <v>16350</v>
      </c>
      <c r="M344" s="544">
        <v>16650</v>
      </c>
      <c r="N344" s="544">
        <v>17000</v>
      </c>
      <c r="O344" s="544">
        <v>17100</v>
      </c>
      <c r="P344" s="544">
        <v>19700</v>
      </c>
      <c r="Q344" s="544">
        <v>20500</v>
      </c>
      <c r="R344" s="544">
        <v>20550</v>
      </c>
      <c r="S344" s="544">
        <v>21300</v>
      </c>
      <c r="T344" s="544">
        <v>21300</v>
      </c>
      <c r="U344" s="544">
        <v>22000</v>
      </c>
      <c r="V344" s="680">
        <v>23200</v>
      </c>
      <c r="W344" s="681">
        <v>23600</v>
      </c>
      <c r="X344" s="682">
        <v>24400</v>
      </c>
      <c r="Y344" s="682">
        <v>24750</v>
      </c>
      <c r="Z344" s="682">
        <v>24950</v>
      </c>
      <c r="AA344" s="682">
        <v>25200</v>
      </c>
      <c r="AB344" s="682">
        <v>25650</v>
      </c>
      <c r="AC344" s="683">
        <v>26250</v>
      </c>
      <c r="AD344" s="683">
        <v>26950</v>
      </c>
      <c r="AE344" s="683">
        <v>28350</v>
      </c>
      <c r="AF344" s="683">
        <v>28500</v>
      </c>
      <c r="AG344" s="691">
        <v>28600</v>
      </c>
      <c r="AH344" s="691"/>
    </row>
    <row r="345" spans="2:34" ht="15" x14ac:dyDescent="0.25">
      <c r="B345" s="684" t="s">
        <v>546</v>
      </c>
      <c r="C345" s="679">
        <v>13500</v>
      </c>
      <c r="D345" s="679">
        <v>14050</v>
      </c>
      <c r="E345" s="679">
        <v>14750</v>
      </c>
      <c r="F345" s="679">
        <v>14650</v>
      </c>
      <c r="G345" s="679">
        <v>14650</v>
      </c>
      <c r="H345" s="679">
        <v>14650</v>
      </c>
      <c r="I345" s="679">
        <v>14650</v>
      </c>
      <c r="J345" s="679">
        <v>15400</v>
      </c>
      <c r="K345" s="679">
        <v>15550</v>
      </c>
      <c r="L345" s="544">
        <v>16350</v>
      </c>
      <c r="M345" s="544">
        <v>16650</v>
      </c>
      <c r="N345" s="544">
        <v>17200</v>
      </c>
      <c r="O345" s="544">
        <v>17450</v>
      </c>
      <c r="P345" s="544">
        <v>21000</v>
      </c>
      <c r="Q345" s="544">
        <v>21150</v>
      </c>
      <c r="R345" s="544">
        <v>21650</v>
      </c>
      <c r="S345" s="544">
        <v>22150</v>
      </c>
      <c r="T345" s="544">
        <v>22250</v>
      </c>
      <c r="U345" s="544">
        <v>23100</v>
      </c>
      <c r="V345" s="680">
        <v>24300</v>
      </c>
      <c r="W345" s="681">
        <v>24750</v>
      </c>
      <c r="X345" s="682">
        <v>24800</v>
      </c>
      <c r="Y345" s="682">
        <v>25150</v>
      </c>
      <c r="Z345" s="682">
        <v>24950</v>
      </c>
      <c r="AA345" s="682">
        <v>25550</v>
      </c>
      <c r="AB345" s="682">
        <v>27050</v>
      </c>
      <c r="AC345" s="683">
        <v>28400</v>
      </c>
      <c r="AD345" s="683">
        <v>28450</v>
      </c>
      <c r="AE345" s="683">
        <v>28650</v>
      </c>
      <c r="AF345" s="683">
        <v>29350</v>
      </c>
      <c r="AG345" s="691">
        <v>28800</v>
      </c>
      <c r="AH345" s="691"/>
    </row>
    <row r="346" spans="2:34" ht="15" x14ac:dyDescent="0.25">
      <c r="B346" s="684" t="s">
        <v>547</v>
      </c>
      <c r="C346" s="679">
        <v>13250</v>
      </c>
      <c r="D346" s="679">
        <v>13800</v>
      </c>
      <c r="E346" s="679">
        <v>14450</v>
      </c>
      <c r="F346" s="679">
        <v>16600</v>
      </c>
      <c r="G346" s="679">
        <v>17000</v>
      </c>
      <c r="H346" s="679">
        <v>17000</v>
      </c>
      <c r="I346" s="679">
        <v>17000</v>
      </c>
      <c r="J346" s="679">
        <v>18050</v>
      </c>
      <c r="K346" s="679">
        <v>18250</v>
      </c>
      <c r="L346" s="544">
        <v>19150</v>
      </c>
      <c r="M346" s="544">
        <v>19650</v>
      </c>
      <c r="N346" s="544">
        <v>19650</v>
      </c>
      <c r="O346" s="544">
        <v>20000</v>
      </c>
      <c r="P346" s="544">
        <v>23250</v>
      </c>
      <c r="Q346" s="544">
        <v>24350</v>
      </c>
      <c r="R346" s="544">
        <v>24350</v>
      </c>
      <c r="S346" s="544">
        <v>24450</v>
      </c>
      <c r="T346" s="544">
        <v>24550</v>
      </c>
      <c r="U346" s="544">
        <v>25500</v>
      </c>
      <c r="V346" s="680">
        <v>26450</v>
      </c>
      <c r="W346" s="681">
        <v>27400</v>
      </c>
      <c r="X346" s="682">
        <v>28250</v>
      </c>
      <c r="Y346" s="682">
        <v>28650</v>
      </c>
      <c r="Z346" s="682">
        <v>28750</v>
      </c>
      <c r="AA346" s="682">
        <v>27350</v>
      </c>
      <c r="AB346" s="682">
        <v>28550</v>
      </c>
      <c r="AC346" s="683">
        <v>29150</v>
      </c>
      <c r="AD346" s="683">
        <v>28300</v>
      </c>
      <c r="AE346" s="683">
        <v>28350</v>
      </c>
      <c r="AF346" s="683">
        <v>31150</v>
      </c>
      <c r="AG346" s="691">
        <v>31100</v>
      </c>
      <c r="AH346" s="691"/>
    </row>
    <row r="347" spans="2:34" ht="15" x14ac:dyDescent="0.25">
      <c r="B347" s="684" t="s">
        <v>548</v>
      </c>
      <c r="C347" s="679">
        <v>12600</v>
      </c>
      <c r="D347" s="679">
        <v>13100</v>
      </c>
      <c r="E347" s="679">
        <v>13200</v>
      </c>
      <c r="F347" s="679">
        <v>13850</v>
      </c>
      <c r="G347" s="679">
        <v>14100</v>
      </c>
      <c r="H347" s="679">
        <v>14450</v>
      </c>
      <c r="I347" s="679">
        <v>14500</v>
      </c>
      <c r="J347" s="679">
        <v>15400</v>
      </c>
      <c r="K347" s="679">
        <v>15600</v>
      </c>
      <c r="L347" s="544">
        <v>16700</v>
      </c>
      <c r="M347" s="544">
        <v>17000</v>
      </c>
      <c r="N347" s="544">
        <v>18000</v>
      </c>
      <c r="O347" s="544">
        <v>18000</v>
      </c>
      <c r="P347" s="544">
        <v>20150</v>
      </c>
      <c r="Q347" s="544">
        <v>21000</v>
      </c>
      <c r="R347" s="544">
        <v>21000</v>
      </c>
      <c r="S347" s="544">
        <v>21300</v>
      </c>
      <c r="T347" s="544">
        <v>21300</v>
      </c>
      <c r="U347" s="544">
        <v>22000</v>
      </c>
      <c r="V347" s="680">
        <v>24100</v>
      </c>
      <c r="W347" s="681">
        <v>24250</v>
      </c>
      <c r="X347" s="682">
        <v>25450</v>
      </c>
      <c r="Y347" s="682">
        <v>25900</v>
      </c>
      <c r="Z347" s="682">
        <v>26200</v>
      </c>
      <c r="AA347" s="682">
        <v>26700</v>
      </c>
      <c r="AB347" s="682">
        <v>26800</v>
      </c>
      <c r="AC347" s="683">
        <v>26250</v>
      </c>
      <c r="AD347" s="683">
        <v>26950</v>
      </c>
      <c r="AE347" s="683">
        <v>28350</v>
      </c>
      <c r="AF347" s="683">
        <v>28850</v>
      </c>
      <c r="AG347" s="691">
        <v>30350</v>
      </c>
      <c r="AH347" s="691"/>
    </row>
    <row r="348" spans="2:34" ht="15" x14ac:dyDescent="0.25">
      <c r="B348" s="684" t="s">
        <v>549</v>
      </c>
      <c r="C348" s="679">
        <v>12600</v>
      </c>
      <c r="D348" s="679">
        <v>13100</v>
      </c>
      <c r="E348" s="679">
        <v>13200</v>
      </c>
      <c r="F348" s="679">
        <v>13850</v>
      </c>
      <c r="G348" s="679">
        <v>14100</v>
      </c>
      <c r="H348" s="679">
        <v>14100</v>
      </c>
      <c r="I348" s="679">
        <v>14300</v>
      </c>
      <c r="J348" s="679">
        <v>15400</v>
      </c>
      <c r="K348" s="679">
        <v>15550</v>
      </c>
      <c r="L348" s="544">
        <v>16350</v>
      </c>
      <c r="M348" s="544">
        <v>16650</v>
      </c>
      <c r="N348" s="544">
        <v>17000</v>
      </c>
      <c r="O348" s="544">
        <v>17100</v>
      </c>
      <c r="P348" s="544">
        <v>19900</v>
      </c>
      <c r="Q348" s="544">
        <v>20500</v>
      </c>
      <c r="R348" s="544">
        <v>20650</v>
      </c>
      <c r="S348" s="544">
        <v>21300</v>
      </c>
      <c r="T348" s="544">
        <v>21300</v>
      </c>
      <c r="U348" s="544">
        <v>22000</v>
      </c>
      <c r="V348" s="680">
        <v>23200</v>
      </c>
      <c r="W348" s="681">
        <v>23600</v>
      </c>
      <c r="X348" s="682">
        <v>24750</v>
      </c>
      <c r="Y348" s="682">
        <v>25450</v>
      </c>
      <c r="Z348" s="682">
        <v>25750</v>
      </c>
      <c r="AA348" s="682">
        <v>27000</v>
      </c>
      <c r="AB348" s="682">
        <v>27850</v>
      </c>
      <c r="AC348" s="683">
        <v>27050</v>
      </c>
      <c r="AD348" s="683">
        <v>28300</v>
      </c>
      <c r="AE348" s="683">
        <v>29500</v>
      </c>
      <c r="AF348" s="683">
        <v>30150</v>
      </c>
      <c r="AG348" s="691">
        <v>31450</v>
      </c>
      <c r="AH348" s="691"/>
    </row>
    <row r="349" spans="2:34" ht="15" x14ac:dyDescent="0.25">
      <c r="B349" s="684" t="s">
        <v>550</v>
      </c>
      <c r="C349" s="679">
        <v>17000</v>
      </c>
      <c r="D349" s="679">
        <v>17250</v>
      </c>
      <c r="E349" s="679">
        <v>17250</v>
      </c>
      <c r="F349" s="679">
        <v>18650</v>
      </c>
      <c r="G349" s="679">
        <v>18650</v>
      </c>
      <c r="H349" s="679">
        <v>18700</v>
      </c>
      <c r="I349" s="679">
        <v>19150</v>
      </c>
      <c r="J349" s="679">
        <v>20400</v>
      </c>
      <c r="K349" s="679">
        <v>20650</v>
      </c>
      <c r="L349" s="544">
        <v>21650</v>
      </c>
      <c r="M349" s="544">
        <v>22050</v>
      </c>
      <c r="N349" s="544">
        <v>22700</v>
      </c>
      <c r="O349" s="544">
        <v>23000</v>
      </c>
      <c r="P349" s="544">
        <v>25550</v>
      </c>
      <c r="Q349" s="544">
        <v>26050</v>
      </c>
      <c r="R349" s="544">
        <v>26300</v>
      </c>
      <c r="S349" s="544">
        <v>26300</v>
      </c>
      <c r="T349" s="544">
        <v>26300</v>
      </c>
      <c r="U349" s="544">
        <v>26300</v>
      </c>
      <c r="V349" s="680">
        <v>26300</v>
      </c>
      <c r="W349" s="681">
        <v>25200</v>
      </c>
      <c r="X349" s="682">
        <v>24950</v>
      </c>
      <c r="Y349" s="682">
        <v>25300</v>
      </c>
      <c r="Z349" s="682">
        <v>24950</v>
      </c>
      <c r="AA349" s="682">
        <v>26150</v>
      </c>
      <c r="AB349" s="682">
        <v>27500</v>
      </c>
      <c r="AC349" s="683">
        <v>26800</v>
      </c>
      <c r="AD349" s="683">
        <v>27950</v>
      </c>
      <c r="AE349" s="683">
        <v>28350</v>
      </c>
      <c r="AF349" s="683">
        <v>28500</v>
      </c>
      <c r="AG349" s="691">
        <v>30750</v>
      </c>
      <c r="AH349" s="691"/>
    </row>
    <row r="350" spans="2:34" ht="15" x14ac:dyDescent="0.25">
      <c r="B350" s="684" t="s">
        <v>551</v>
      </c>
      <c r="C350" s="679">
        <v>12600</v>
      </c>
      <c r="D350" s="679">
        <v>13100</v>
      </c>
      <c r="E350" s="679">
        <v>13200</v>
      </c>
      <c r="F350" s="679">
        <v>13850</v>
      </c>
      <c r="G350" s="679">
        <v>14100</v>
      </c>
      <c r="H350" s="679">
        <v>14100</v>
      </c>
      <c r="I350" s="679">
        <v>14300</v>
      </c>
      <c r="J350" s="679">
        <v>15400</v>
      </c>
      <c r="K350" s="679">
        <v>15550</v>
      </c>
      <c r="L350" s="544">
        <v>16350</v>
      </c>
      <c r="M350" s="544">
        <v>16650</v>
      </c>
      <c r="N350" s="544">
        <v>17000</v>
      </c>
      <c r="O350" s="544">
        <v>17100</v>
      </c>
      <c r="P350" s="544">
        <v>19700</v>
      </c>
      <c r="Q350" s="544">
        <v>20500</v>
      </c>
      <c r="R350" s="544">
        <v>20550</v>
      </c>
      <c r="S350" s="544">
        <v>21300</v>
      </c>
      <c r="T350" s="544">
        <v>21300</v>
      </c>
      <c r="U350" s="544">
        <v>22000</v>
      </c>
      <c r="V350" s="680">
        <v>23200</v>
      </c>
      <c r="W350" s="681">
        <v>23600</v>
      </c>
      <c r="X350" s="682">
        <v>24400</v>
      </c>
      <c r="Y350" s="682">
        <v>24750</v>
      </c>
      <c r="Z350" s="682">
        <v>24950</v>
      </c>
      <c r="AA350" s="682">
        <v>25200</v>
      </c>
      <c r="AB350" s="682">
        <v>25650</v>
      </c>
      <c r="AC350" s="683">
        <v>26250</v>
      </c>
      <c r="AD350" s="683">
        <v>26950</v>
      </c>
      <c r="AE350" s="683">
        <v>28350</v>
      </c>
      <c r="AF350" s="683">
        <v>28500</v>
      </c>
      <c r="AG350" s="691">
        <v>28600</v>
      </c>
      <c r="AH350" s="691"/>
    </row>
    <row r="351" spans="2:34" ht="15" x14ac:dyDescent="0.25">
      <c r="B351" s="684" t="s">
        <v>552</v>
      </c>
      <c r="C351" s="679">
        <v>13100</v>
      </c>
      <c r="D351" s="679">
        <v>13250</v>
      </c>
      <c r="E351" s="679">
        <v>13250</v>
      </c>
      <c r="F351" s="679">
        <v>13850</v>
      </c>
      <c r="G351" s="679">
        <v>14100</v>
      </c>
      <c r="H351" s="679">
        <v>14100</v>
      </c>
      <c r="I351" s="679">
        <v>14300</v>
      </c>
      <c r="J351" s="679">
        <v>15400</v>
      </c>
      <c r="K351" s="679">
        <v>15550</v>
      </c>
      <c r="L351" s="544">
        <v>16350</v>
      </c>
      <c r="M351" s="544">
        <v>16650</v>
      </c>
      <c r="N351" s="544">
        <v>17000</v>
      </c>
      <c r="O351" s="544">
        <v>17100</v>
      </c>
      <c r="P351" s="544">
        <v>20050</v>
      </c>
      <c r="Q351" s="544">
        <v>21550</v>
      </c>
      <c r="R351" s="544">
        <v>21550</v>
      </c>
      <c r="S351" s="544">
        <v>21600</v>
      </c>
      <c r="T351" s="544">
        <v>21900</v>
      </c>
      <c r="U351" s="544">
        <v>22600</v>
      </c>
      <c r="V351" s="680">
        <v>23400</v>
      </c>
      <c r="W351" s="681">
        <v>23850</v>
      </c>
      <c r="X351" s="682">
        <v>25000</v>
      </c>
      <c r="Y351" s="682">
        <v>26250</v>
      </c>
      <c r="Z351" s="682">
        <v>27550</v>
      </c>
      <c r="AA351" s="682">
        <v>28900</v>
      </c>
      <c r="AB351" s="682">
        <v>30600</v>
      </c>
      <c r="AC351" s="683">
        <v>31600</v>
      </c>
      <c r="AD351" s="683">
        <v>32650</v>
      </c>
      <c r="AE351" s="683">
        <v>32550</v>
      </c>
      <c r="AF351" s="683">
        <v>34250</v>
      </c>
      <c r="AG351" s="691">
        <v>33050</v>
      </c>
      <c r="AH351" s="691"/>
    </row>
    <row r="352" spans="2:34" ht="15" x14ac:dyDescent="0.25">
      <c r="B352" s="684" t="s">
        <v>553</v>
      </c>
      <c r="C352" s="679">
        <v>17850</v>
      </c>
      <c r="D352" s="679">
        <v>18100</v>
      </c>
      <c r="E352" s="679">
        <v>18150</v>
      </c>
      <c r="F352" s="679">
        <v>18750</v>
      </c>
      <c r="G352" s="679">
        <v>18750</v>
      </c>
      <c r="H352" s="679">
        <v>18750</v>
      </c>
      <c r="I352" s="679">
        <v>19200</v>
      </c>
      <c r="J352" s="679">
        <v>20450</v>
      </c>
      <c r="K352" s="679">
        <v>20700</v>
      </c>
      <c r="L352" s="544">
        <v>21850</v>
      </c>
      <c r="M352" s="544">
        <v>22550</v>
      </c>
      <c r="N352" s="544">
        <v>23400</v>
      </c>
      <c r="O352" s="544">
        <v>23450</v>
      </c>
      <c r="P352" s="544">
        <v>26100</v>
      </c>
      <c r="Q352" s="544">
        <v>27250</v>
      </c>
      <c r="R352" s="544">
        <v>27250</v>
      </c>
      <c r="S352" s="544">
        <v>27250</v>
      </c>
      <c r="T352" s="544">
        <v>27250</v>
      </c>
      <c r="U352" s="544">
        <v>27350</v>
      </c>
      <c r="V352" s="680">
        <v>28800</v>
      </c>
      <c r="W352" s="681">
        <v>29650</v>
      </c>
      <c r="X352" s="682">
        <v>29800</v>
      </c>
      <c r="Y352" s="682">
        <v>30200</v>
      </c>
      <c r="Z352" s="682">
        <v>29850</v>
      </c>
      <c r="AA352" s="682">
        <v>29600</v>
      </c>
      <c r="AB352" s="682">
        <v>30700</v>
      </c>
      <c r="AC352" s="683">
        <v>30950</v>
      </c>
      <c r="AD352" s="683">
        <v>31950</v>
      </c>
      <c r="AE352" s="683">
        <v>33550</v>
      </c>
      <c r="AF352" s="683">
        <v>34850</v>
      </c>
      <c r="AG352" s="691">
        <v>34300</v>
      </c>
      <c r="AH352" s="691"/>
    </row>
    <row r="353" spans="2:34" ht="15" x14ac:dyDescent="0.25">
      <c r="B353" s="684" t="s">
        <v>554</v>
      </c>
      <c r="C353" s="679">
        <v>12600</v>
      </c>
      <c r="D353" s="679">
        <v>13100</v>
      </c>
      <c r="E353" s="679">
        <v>13200</v>
      </c>
      <c r="F353" s="679">
        <v>13850</v>
      </c>
      <c r="G353" s="679">
        <v>14100</v>
      </c>
      <c r="H353" s="679">
        <v>14100</v>
      </c>
      <c r="I353" s="679">
        <v>14300</v>
      </c>
      <c r="J353" s="679">
        <v>15400</v>
      </c>
      <c r="K353" s="679">
        <v>15550</v>
      </c>
      <c r="L353" s="544">
        <v>16350</v>
      </c>
      <c r="M353" s="544">
        <v>16650</v>
      </c>
      <c r="N353" s="544">
        <v>17000</v>
      </c>
      <c r="O353" s="544">
        <v>17100</v>
      </c>
      <c r="P353" s="544">
        <v>19700</v>
      </c>
      <c r="Q353" s="544">
        <v>20500</v>
      </c>
      <c r="R353" s="544">
        <v>20550</v>
      </c>
      <c r="S353" s="544">
        <v>21300</v>
      </c>
      <c r="T353" s="544">
        <v>21300</v>
      </c>
      <c r="U353" s="544">
        <v>22000</v>
      </c>
      <c r="V353" s="680">
        <v>23200</v>
      </c>
      <c r="W353" s="681">
        <v>23600</v>
      </c>
      <c r="X353" s="682">
        <v>24400</v>
      </c>
      <c r="Y353" s="682">
        <v>24750</v>
      </c>
      <c r="Z353" s="682">
        <v>24950</v>
      </c>
      <c r="AA353" s="682">
        <v>25200</v>
      </c>
      <c r="AB353" s="682">
        <v>25650</v>
      </c>
      <c r="AC353" s="683">
        <v>26250</v>
      </c>
      <c r="AD353" s="683">
        <v>26950</v>
      </c>
      <c r="AE353" s="683">
        <v>28350</v>
      </c>
      <c r="AF353" s="683">
        <v>28500</v>
      </c>
      <c r="AG353" s="691">
        <v>28600</v>
      </c>
      <c r="AH353" s="691"/>
    </row>
    <row r="354" spans="2:34" ht="15" x14ac:dyDescent="0.25">
      <c r="B354" s="684" t="s">
        <v>555</v>
      </c>
      <c r="C354" s="679">
        <v>13750</v>
      </c>
      <c r="D354" s="679">
        <v>14200</v>
      </c>
      <c r="E354" s="679">
        <v>14200</v>
      </c>
      <c r="F354" s="679">
        <v>15200</v>
      </c>
      <c r="G354" s="679">
        <v>15200</v>
      </c>
      <c r="H354" s="679">
        <v>16000</v>
      </c>
      <c r="I354" s="679">
        <v>16000</v>
      </c>
      <c r="J354" s="679">
        <v>17200</v>
      </c>
      <c r="K354" s="679">
        <v>17450</v>
      </c>
      <c r="L354" s="544">
        <v>18350</v>
      </c>
      <c r="M354" s="544">
        <v>18850</v>
      </c>
      <c r="N354" s="544">
        <v>19550</v>
      </c>
      <c r="O354" s="544">
        <v>19850</v>
      </c>
      <c r="P354" s="544">
        <v>21750</v>
      </c>
      <c r="Q354" s="544">
        <v>22600</v>
      </c>
      <c r="R354" s="544">
        <v>22600</v>
      </c>
      <c r="S354" s="544">
        <v>22600</v>
      </c>
      <c r="T354" s="544">
        <v>22600</v>
      </c>
      <c r="U354" s="544">
        <v>22850</v>
      </c>
      <c r="V354" s="680">
        <v>23250</v>
      </c>
      <c r="W354" s="681">
        <v>23750</v>
      </c>
      <c r="X354" s="682">
        <v>23900</v>
      </c>
      <c r="Y354" s="682">
        <v>24200</v>
      </c>
      <c r="Z354" s="682">
        <v>23500</v>
      </c>
      <c r="AA354" s="682">
        <v>23400</v>
      </c>
      <c r="AB354" s="682">
        <v>23550</v>
      </c>
      <c r="AC354" s="683">
        <v>24350</v>
      </c>
      <c r="AD354" s="683">
        <v>24900</v>
      </c>
      <c r="AE354" s="683">
        <v>26450</v>
      </c>
      <c r="AF354" s="683">
        <v>26450</v>
      </c>
      <c r="AG354" s="691">
        <v>27100</v>
      </c>
      <c r="AH354" s="691"/>
    </row>
    <row r="355" spans="2:34" ht="15" x14ac:dyDescent="0.25">
      <c r="B355" s="684" t="s">
        <v>556</v>
      </c>
      <c r="C355" s="679">
        <v>13950</v>
      </c>
      <c r="D355" s="679">
        <v>15000</v>
      </c>
      <c r="E355" s="679">
        <v>15350</v>
      </c>
      <c r="F355" s="679">
        <v>15650</v>
      </c>
      <c r="G355" s="679">
        <v>15550</v>
      </c>
      <c r="H355" s="679">
        <v>15800</v>
      </c>
      <c r="I355" s="679">
        <v>16250</v>
      </c>
      <c r="J355" s="679">
        <v>16400</v>
      </c>
      <c r="K355" s="679">
        <v>16750</v>
      </c>
      <c r="L355" s="544">
        <v>17000</v>
      </c>
      <c r="M355" s="544">
        <v>17000</v>
      </c>
      <c r="N355" s="544">
        <v>19250</v>
      </c>
      <c r="O355" s="544">
        <v>20050</v>
      </c>
      <c r="P355" s="544">
        <v>20050</v>
      </c>
      <c r="Q355" s="544">
        <v>20650</v>
      </c>
      <c r="R355" s="544">
        <v>21050</v>
      </c>
      <c r="S355" s="544">
        <v>21700</v>
      </c>
      <c r="T355" s="544">
        <v>21700</v>
      </c>
      <c r="U355" s="544">
        <v>22400</v>
      </c>
      <c r="V355" s="680">
        <v>24400</v>
      </c>
      <c r="W355" s="681">
        <v>24250</v>
      </c>
      <c r="X355" s="682">
        <v>25450</v>
      </c>
      <c r="Y355" s="682">
        <v>26700</v>
      </c>
      <c r="Z355" s="682">
        <v>28000</v>
      </c>
      <c r="AA355" s="682">
        <v>28650</v>
      </c>
      <c r="AB355" s="682">
        <v>29350</v>
      </c>
      <c r="AC355" s="683">
        <v>29700</v>
      </c>
      <c r="AD355" s="683">
        <v>28950</v>
      </c>
      <c r="AE355" s="683">
        <v>29550</v>
      </c>
      <c r="AF355" s="683">
        <v>30150</v>
      </c>
      <c r="AG355" s="691">
        <v>30900</v>
      </c>
      <c r="AH355" s="691"/>
    </row>
    <row r="356" spans="2:34" ht="15" x14ac:dyDescent="0.25">
      <c r="B356" s="684" t="s">
        <v>557</v>
      </c>
      <c r="C356" s="679">
        <v>14250</v>
      </c>
      <c r="D356" s="679">
        <v>14750</v>
      </c>
      <c r="E356" s="679">
        <v>14750</v>
      </c>
      <c r="F356" s="679">
        <v>16050</v>
      </c>
      <c r="G356" s="679">
        <v>15450</v>
      </c>
      <c r="H356" s="679">
        <v>15700</v>
      </c>
      <c r="I356" s="679">
        <v>16250</v>
      </c>
      <c r="J356" s="679">
        <v>16400</v>
      </c>
      <c r="K356" s="679">
        <v>16750</v>
      </c>
      <c r="L356" s="544">
        <v>17000</v>
      </c>
      <c r="M356" s="544">
        <v>17000</v>
      </c>
      <c r="N356" s="544">
        <v>20850</v>
      </c>
      <c r="O356" s="544">
        <v>21200</v>
      </c>
      <c r="P356" s="544">
        <v>24550</v>
      </c>
      <c r="Q356" s="544">
        <v>24850</v>
      </c>
      <c r="R356" s="544">
        <v>24850</v>
      </c>
      <c r="S356" s="544">
        <v>25200</v>
      </c>
      <c r="T356" s="544">
        <v>25200</v>
      </c>
      <c r="U356" s="544">
        <v>25950</v>
      </c>
      <c r="V356" s="680">
        <v>27550</v>
      </c>
      <c r="W356" s="681">
        <v>28050</v>
      </c>
      <c r="X356" s="682">
        <v>27150</v>
      </c>
      <c r="Y356" s="682">
        <v>27550</v>
      </c>
      <c r="Z356" s="682">
        <v>28900</v>
      </c>
      <c r="AA356" s="682">
        <v>30300</v>
      </c>
      <c r="AB356" s="682">
        <v>30500</v>
      </c>
      <c r="AC356" s="683">
        <v>29600</v>
      </c>
      <c r="AD356" s="683">
        <v>29350</v>
      </c>
      <c r="AE356" s="683">
        <v>29150</v>
      </c>
      <c r="AF356" s="683">
        <v>30250</v>
      </c>
      <c r="AG356" s="691">
        <v>32050</v>
      </c>
      <c r="AH356" s="691"/>
    </row>
    <row r="357" spans="2:34" ht="15" x14ac:dyDescent="0.25">
      <c r="B357" s="684" t="s">
        <v>558</v>
      </c>
      <c r="C357" s="679">
        <v>12600</v>
      </c>
      <c r="D357" s="679">
        <v>13100</v>
      </c>
      <c r="E357" s="679">
        <v>13200</v>
      </c>
      <c r="F357" s="679">
        <v>13850</v>
      </c>
      <c r="G357" s="679">
        <v>14100</v>
      </c>
      <c r="H357" s="679">
        <v>14100</v>
      </c>
      <c r="I357" s="679">
        <v>14300</v>
      </c>
      <c r="J357" s="679">
        <v>15400</v>
      </c>
      <c r="K357" s="679">
        <v>15550</v>
      </c>
      <c r="L357" s="544">
        <v>16350</v>
      </c>
      <c r="M357" s="544">
        <v>16650</v>
      </c>
      <c r="N357" s="544">
        <v>17000</v>
      </c>
      <c r="O357" s="544">
        <v>17300</v>
      </c>
      <c r="P357" s="544">
        <v>19700</v>
      </c>
      <c r="Q357" s="544">
        <v>20500</v>
      </c>
      <c r="R357" s="544">
        <v>20550</v>
      </c>
      <c r="S357" s="544">
        <v>21300</v>
      </c>
      <c r="T357" s="544">
        <v>21300</v>
      </c>
      <c r="U357" s="544">
        <v>22000</v>
      </c>
      <c r="V357" s="680">
        <v>23200</v>
      </c>
      <c r="W357" s="681">
        <v>23600</v>
      </c>
      <c r="X357" s="682">
        <v>24400</v>
      </c>
      <c r="Y357" s="682">
        <v>24750</v>
      </c>
      <c r="Z357" s="682">
        <v>24950</v>
      </c>
      <c r="AA357" s="682">
        <v>25200</v>
      </c>
      <c r="AB357" s="682">
        <v>25650</v>
      </c>
      <c r="AC357" s="683">
        <v>26250</v>
      </c>
      <c r="AD357" s="683">
        <v>26950</v>
      </c>
      <c r="AE357" s="683">
        <v>28350</v>
      </c>
      <c r="AF357" s="683">
        <v>28500</v>
      </c>
      <c r="AG357" s="691">
        <v>28600</v>
      </c>
      <c r="AH357" s="691"/>
    </row>
    <row r="358" spans="2:34" ht="15" x14ac:dyDescent="0.25">
      <c r="B358" s="684" t="s">
        <v>559</v>
      </c>
      <c r="C358" s="679">
        <v>17850</v>
      </c>
      <c r="D358" s="679">
        <v>18100</v>
      </c>
      <c r="E358" s="679">
        <v>18150</v>
      </c>
      <c r="F358" s="679">
        <v>18750</v>
      </c>
      <c r="G358" s="679">
        <v>18750</v>
      </c>
      <c r="H358" s="679">
        <v>18750</v>
      </c>
      <c r="I358" s="679">
        <v>19200</v>
      </c>
      <c r="J358" s="679">
        <v>20450</v>
      </c>
      <c r="K358" s="679">
        <v>20700</v>
      </c>
      <c r="L358" s="544">
        <v>21850</v>
      </c>
      <c r="M358" s="544">
        <v>22550</v>
      </c>
      <c r="N358" s="544">
        <v>23400</v>
      </c>
      <c r="O358" s="544">
        <v>23450</v>
      </c>
      <c r="P358" s="544">
        <v>26100</v>
      </c>
      <c r="Q358" s="544">
        <v>27250</v>
      </c>
      <c r="R358" s="544">
        <v>27250</v>
      </c>
      <c r="S358" s="544">
        <v>27250</v>
      </c>
      <c r="T358" s="544">
        <v>27250</v>
      </c>
      <c r="U358" s="544">
        <v>27350</v>
      </c>
      <c r="V358" s="680">
        <v>28800</v>
      </c>
      <c r="W358" s="681">
        <v>29650</v>
      </c>
      <c r="X358" s="682">
        <v>29800</v>
      </c>
      <c r="Y358" s="682">
        <v>30200</v>
      </c>
      <c r="Z358" s="682">
        <v>29850</v>
      </c>
      <c r="AA358" s="682">
        <v>29600</v>
      </c>
      <c r="AB358" s="682">
        <v>30700</v>
      </c>
      <c r="AC358" s="683">
        <v>30950</v>
      </c>
      <c r="AD358" s="683">
        <v>31950</v>
      </c>
      <c r="AE358" s="683">
        <v>33550</v>
      </c>
      <c r="AF358" s="683">
        <v>34850</v>
      </c>
      <c r="AG358" s="691">
        <v>34300</v>
      </c>
      <c r="AH358" s="691"/>
    </row>
    <row r="359" spans="2:34" ht="15" x14ac:dyDescent="0.25">
      <c r="B359" s="684" t="s">
        <v>560</v>
      </c>
      <c r="C359" s="679">
        <v>17850</v>
      </c>
      <c r="D359" s="679">
        <v>18100</v>
      </c>
      <c r="E359" s="679">
        <v>18150</v>
      </c>
      <c r="F359" s="679">
        <v>18750</v>
      </c>
      <c r="G359" s="679">
        <v>18750</v>
      </c>
      <c r="H359" s="679">
        <v>18750</v>
      </c>
      <c r="I359" s="679">
        <v>19200</v>
      </c>
      <c r="J359" s="679">
        <v>20450</v>
      </c>
      <c r="K359" s="679">
        <v>20700</v>
      </c>
      <c r="L359" s="544">
        <v>21850</v>
      </c>
      <c r="M359" s="544">
        <v>22550</v>
      </c>
      <c r="N359" s="544">
        <v>23400</v>
      </c>
      <c r="O359" s="544">
        <v>23450</v>
      </c>
      <c r="P359" s="544">
        <v>26100</v>
      </c>
      <c r="Q359" s="544">
        <v>27250</v>
      </c>
      <c r="R359" s="544">
        <v>27250</v>
      </c>
      <c r="S359" s="544">
        <v>27250</v>
      </c>
      <c r="T359" s="544">
        <v>27250</v>
      </c>
      <c r="U359" s="544">
        <v>27350</v>
      </c>
      <c r="V359" s="680">
        <v>28800</v>
      </c>
      <c r="W359" s="681">
        <v>29650</v>
      </c>
      <c r="X359" s="682">
        <v>29800</v>
      </c>
      <c r="Y359" s="682">
        <v>30200</v>
      </c>
      <c r="Z359" s="682">
        <v>29850</v>
      </c>
      <c r="AA359" s="682">
        <v>29600</v>
      </c>
      <c r="AB359" s="682">
        <v>30700</v>
      </c>
      <c r="AC359" s="683">
        <v>30950</v>
      </c>
      <c r="AD359" s="683">
        <v>31950</v>
      </c>
      <c r="AE359" s="683">
        <v>33550</v>
      </c>
      <c r="AF359" s="683">
        <v>34850</v>
      </c>
      <c r="AG359" s="691">
        <v>34300</v>
      </c>
      <c r="AH359" s="691"/>
    </row>
    <row r="360" spans="2:34" ht="15" x14ac:dyDescent="0.25">
      <c r="B360" s="684" t="s">
        <v>561</v>
      </c>
      <c r="C360" s="679">
        <v>17500</v>
      </c>
      <c r="D360" s="679">
        <v>17500</v>
      </c>
      <c r="E360" s="679">
        <v>17900</v>
      </c>
      <c r="F360" s="679">
        <v>19150</v>
      </c>
      <c r="G360" s="679">
        <v>19000</v>
      </c>
      <c r="H360" s="679">
        <v>19300</v>
      </c>
      <c r="I360" s="679">
        <v>19300</v>
      </c>
      <c r="J360" s="679">
        <v>19300</v>
      </c>
      <c r="K360" s="679">
        <v>19600</v>
      </c>
      <c r="L360" s="544">
        <v>19800</v>
      </c>
      <c r="M360" s="544">
        <v>19800</v>
      </c>
      <c r="N360" s="544">
        <v>23500</v>
      </c>
      <c r="O360" s="544">
        <v>23500</v>
      </c>
      <c r="P360" s="544">
        <v>23550</v>
      </c>
      <c r="Q360" s="544">
        <v>24600</v>
      </c>
      <c r="R360" s="544">
        <v>25250</v>
      </c>
      <c r="S360" s="544">
        <v>26200</v>
      </c>
      <c r="T360" s="544">
        <v>26200</v>
      </c>
      <c r="U360" s="544">
        <v>26450</v>
      </c>
      <c r="V360" s="680">
        <v>28300</v>
      </c>
      <c r="W360" s="681">
        <v>28900</v>
      </c>
      <c r="X360" s="682">
        <v>28250</v>
      </c>
      <c r="Y360" s="682">
        <v>28650</v>
      </c>
      <c r="Z360" s="682">
        <v>29350</v>
      </c>
      <c r="AA360" s="682">
        <v>29850</v>
      </c>
      <c r="AB360" s="682">
        <v>30150</v>
      </c>
      <c r="AC360" s="683">
        <v>30150</v>
      </c>
      <c r="AD360" s="683">
        <v>30250</v>
      </c>
      <c r="AE360" s="683">
        <v>31550</v>
      </c>
      <c r="AF360" s="683">
        <v>32750</v>
      </c>
      <c r="AG360" s="691">
        <v>32900</v>
      </c>
      <c r="AH360" s="691"/>
    </row>
    <row r="361" spans="2:34" ht="15" x14ac:dyDescent="0.25">
      <c r="B361" s="684" t="s">
        <v>562</v>
      </c>
      <c r="C361" s="679">
        <v>15450</v>
      </c>
      <c r="D361" s="679">
        <v>15850</v>
      </c>
      <c r="E361" s="679">
        <v>16000</v>
      </c>
      <c r="F361" s="679">
        <v>13850</v>
      </c>
      <c r="G361" s="679">
        <v>14100</v>
      </c>
      <c r="H361" s="679">
        <v>14100</v>
      </c>
      <c r="I361" s="679">
        <v>14300</v>
      </c>
      <c r="J361" s="679">
        <v>15400</v>
      </c>
      <c r="K361" s="679">
        <v>15550</v>
      </c>
      <c r="L361" s="544">
        <v>16350</v>
      </c>
      <c r="M361" s="544">
        <v>16650</v>
      </c>
      <c r="N361" s="544">
        <v>17000</v>
      </c>
      <c r="O361" s="544">
        <v>17100</v>
      </c>
      <c r="P361" s="544">
        <v>21150</v>
      </c>
      <c r="Q361" s="544">
        <v>22100</v>
      </c>
      <c r="R361" s="544">
        <v>22100</v>
      </c>
      <c r="S361" s="544">
        <v>22100</v>
      </c>
      <c r="T361" s="544">
        <v>22100</v>
      </c>
      <c r="U361" s="544">
        <v>22400</v>
      </c>
      <c r="V361" s="680">
        <v>23200</v>
      </c>
      <c r="W361" s="681">
        <v>23650</v>
      </c>
      <c r="X361" s="682">
        <v>24800</v>
      </c>
      <c r="Y361" s="682">
        <v>26000</v>
      </c>
      <c r="Z361" s="682">
        <v>27300</v>
      </c>
      <c r="AA361" s="682">
        <v>28650</v>
      </c>
      <c r="AB361" s="682">
        <v>30350</v>
      </c>
      <c r="AC361" s="683">
        <v>28850</v>
      </c>
      <c r="AD361" s="683">
        <v>28600</v>
      </c>
      <c r="AE361" s="683">
        <v>30900</v>
      </c>
      <c r="AF361" s="683">
        <v>30100</v>
      </c>
      <c r="AG361" s="691">
        <v>31900</v>
      </c>
      <c r="AH361" s="691"/>
    </row>
    <row r="362" spans="2:34" ht="15" x14ac:dyDescent="0.25">
      <c r="B362" s="684" t="s">
        <v>563</v>
      </c>
      <c r="C362" s="679">
        <v>13450</v>
      </c>
      <c r="D362" s="679">
        <v>13900</v>
      </c>
      <c r="E362" s="679">
        <v>13900</v>
      </c>
      <c r="F362" s="679">
        <v>16450</v>
      </c>
      <c r="G362" s="679">
        <v>14450</v>
      </c>
      <c r="H362" s="679">
        <v>14650</v>
      </c>
      <c r="I362" s="679">
        <v>16250</v>
      </c>
      <c r="J362" s="679">
        <v>16400</v>
      </c>
      <c r="K362" s="679">
        <v>16750</v>
      </c>
      <c r="L362" s="544">
        <v>17000</v>
      </c>
      <c r="M362" s="544">
        <v>17000</v>
      </c>
      <c r="N362" s="544">
        <v>18150</v>
      </c>
      <c r="O362" s="544">
        <v>18200</v>
      </c>
      <c r="P362" s="544">
        <v>21350</v>
      </c>
      <c r="Q362" s="544">
        <v>22600</v>
      </c>
      <c r="R362" s="544">
        <v>22800</v>
      </c>
      <c r="S362" s="544">
        <v>23350</v>
      </c>
      <c r="T362" s="544">
        <v>23350</v>
      </c>
      <c r="U362" s="544">
        <v>24050</v>
      </c>
      <c r="V362" s="680">
        <v>25550</v>
      </c>
      <c r="W362" s="681">
        <v>26000</v>
      </c>
      <c r="X362" s="682">
        <v>27300</v>
      </c>
      <c r="Y362" s="682">
        <v>28650</v>
      </c>
      <c r="Z362" s="682">
        <v>30050</v>
      </c>
      <c r="AA362" s="682">
        <v>31450</v>
      </c>
      <c r="AB362" s="682">
        <v>32450</v>
      </c>
      <c r="AC362" s="683">
        <v>33400</v>
      </c>
      <c r="AD362" s="683">
        <v>35700</v>
      </c>
      <c r="AE362" s="683">
        <v>39200</v>
      </c>
      <c r="AF362" s="683">
        <v>40550</v>
      </c>
      <c r="AG362" s="691">
        <v>42150</v>
      </c>
      <c r="AH362" s="691"/>
    </row>
    <row r="363" spans="2:34" ht="15" x14ac:dyDescent="0.25">
      <c r="B363" s="684" t="s">
        <v>564</v>
      </c>
      <c r="C363" s="679">
        <v>15900</v>
      </c>
      <c r="D363" s="679">
        <v>16250</v>
      </c>
      <c r="E363" s="679">
        <v>16450</v>
      </c>
      <c r="F363" s="679">
        <v>15950</v>
      </c>
      <c r="G363" s="679">
        <v>15000</v>
      </c>
      <c r="H363" s="679">
        <v>15150</v>
      </c>
      <c r="I363" s="679">
        <v>16250</v>
      </c>
      <c r="J363" s="679">
        <v>16400</v>
      </c>
      <c r="K363" s="679">
        <v>16750</v>
      </c>
      <c r="L363" s="544">
        <v>17000</v>
      </c>
      <c r="M363" s="544">
        <v>17000</v>
      </c>
      <c r="N363" s="544">
        <v>20000</v>
      </c>
      <c r="O363" s="544">
        <v>20000</v>
      </c>
      <c r="P363" s="544">
        <v>22750</v>
      </c>
      <c r="Q363" s="544">
        <v>24250</v>
      </c>
      <c r="R363" s="544">
        <v>24250</v>
      </c>
      <c r="S363" s="544">
        <v>24250</v>
      </c>
      <c r="T363" s="544">
        <v>24250</v>
      </c>
      <c r="U363" s="544">
        <v>25500</v>
      </c>
      <c r="V363" s="680">
        <v>26050</v>
      </c>
      <c r="W363" s="681">
        <v>26500</v>
      </c>
      <c r="X363" s="682">
        <v>27800</v>
      </c>
      <c r="Y363" s="682">
        <v>28350</v>
      </c>
      <c r="Z363" s="682">
        <v>29750</v>
      </c>
      <c r="AA363" s="682">
        <v>31200</v>
      </c>
      <c r="AB363" s="682">
        <v>32600</v>
      </c>
      <c r="AC363" s="683">
        <v>32400</v>
      </c>
      <c r="AD363" s="683">
        <v>34250</v>
      </c>
      <c r="AE363" s="683">
        <v>36200</v>
      </c>
      <c r="AF363" s="683">
        <v>38100</v>
      </c>
      <c r="AG363" s="691">
        <v>37450</v>
      </c>
      <c r="AH363" s="691"/>
    </row>
    <row r="364" spans="2:34" ht="15" x14ac:dyDescent="0.25">
      <c r="B364" s="685" t="s">
        <v>565</v>
      </c>
      <c r="C364" s="686">
        <v>14500</v>
      </c>
      <c r="D364" s="686">
        <v>15200</v>
      </c>
      <c r="E364" s="686">
        <v>15950</v>
      </c>
      <c r="F364" s="686">
        <v>16900</v>
      </c>
      <c r="G364" s="686">
        <v>17950</v>
      </c>
      <c r="H364" s="686">
        <v>18050</v>
      </c>
      <c r="I364" s="686">
        <v>19450</v>
      </c>
      <c r="J364" s="686">
        <v>20250</v>
      </c>
      <c r="K364" s="686">
        <v>21100</v>
      </c>
      <c r="L364" s="544">
        <v>21500</v>
      </c>
      <c r="M364" s="544">
        <v>22950</v>
      </c>
      <c r="N364" s="544">
        <v>25100</v>
      </c>
      <c r="O364" s="544">
        <v>25550</v>
      </c>
      <c r="P364" s="544">
        <v>27550</v>
      </c>
      <c r="Q364" s="544">
        <v>27850</v>
      </c>
      <c r="R364" s="544">
        <v>27850</v>
      </c>
      <c r="S364" s="544">
        <v>29250</v>
      </c>
      <c r="T364" s="544">
        <v>29650</v>
      </c>
      <c r="U364" s="544">
        <v>31500</v>
      </c>
      <c r="V364" s="680">
        <v>32450</v>
      </c>
      <c r="W364" s="681">
        <v>32700</v>
      </c>
      <c r="X364" s="687">
        <v>33050</v>
      </c>
      <c r="Y364" s="687">
        <v>33500</v>
      </c>
      <c r="Z364" s="687">
        <v>33650</v>
      </c>
      <c r="AA364" s="687">
        <v>33300</v>
      </c>
      <c r="AB364" s="687">
        <v>32850</v>
      </c>
      <c r="AC364" s="688">
        <v>31400</v>
      </c>
      <c r="AD364" s="688">
        <v>32350</v>
      </c>
      <c r="AE364" s="688">
        <v>34550</v>
      </c>
      <c r="AF364" s="688">
        <v>38000</v>
      </c>
      <c r="AG364" s="691">
        <v>41000</v>
      </c>
      <c r="AH364" s="691"/>
    </row>
    <row r="365" spans="2:34" ht="15" x14ac:dyDescent="0.25">
      <c r="B365" s="684" t="s">
        <v>1512</v>
      </c>
      <c r="C365" s="679"/>
      <c r="D365" s="679">
        <v>21950</v>
      </c>
      <c r="E365" s="679">
        <v>22500</v>
      </c>
      <c r="F365" s="679">
        <v>22750</v>
      </c>
      <c r="G365" s="679">
        <v>22850</v>
      </c>
      <c r="H365" s="679">
        <v>23500</v>
      </c>
      <c r="I365" s="679">
        <v>24150</v>
      </c>
      <c r="J365" s="679">
        <v>26150</v>
      </c>
      <c r="K365" s="679">
        <v>27200</v>
      </c>
      <c r="L365" s="544">
        <v>29100</v>
      </c>
      <c r="M365" s="544">
        <v>30400</v>
      </c>
      <c r="N365" s="544">
        <v>32200</v>
      </c>
      <c r="O365" s="544">
        <v>33250</v>
      </c>
      <c r="P365" s="544">
        <v>33250</v>
      </c>
      <c r="Q365" s="544">
        <v>33250</v>
      </c>
      <c r="R365" s="544">
        <v>33250</v>
      </c>
      <c r="S365" s="544">
        <v>33250</v>
      </c>
      <c r="T365" s="544">
        <v>33250</v>
      </c>
      <c r="U365" s="544">
        <v>33250</v>
      </c>
      <c r="V365" s="680">
        <v>33800</v>
      </c>
      <c r="W365" s="681">
        <v>34150</v>
      </c>
      <c r="X365" s="682">
        <v>34550</v>
      </c>
      <c r="Y365" s="682">
        <v>35050</v>
      </c>
      <c r="Z365" s="682">
        <v>33750</v>
      </c>
      <c r="AA365" s="682">
        <v>33950</v>
      </c>
      <c r="AB365" s="682">
        <v>35200</v>
      </c>
      <c r="AC365" s="683">
        <v>35850</v>
      </c>
      <c r="AD365" s="683">
        <v>36700</v>
      </c>
      <c r="AE365" s="683">
        <v>38600</v>
      </c>
      <c r="AF365" s="683">
        <v>41550</v>
      </c>
      <c r="AG365" s="691">
        <v>43100</v>
      </c>
      <c r="AH365" s="691"/>
    </row>
    <row r="366" spans="2:34" x14ac:dyDescent="0.2">
      <c r="B366" s="689" t="s">
        <v>797</v>
      </c>
      <c r="C366" s="676"/>
      <c r="D366" s="676"/>
      <c r="E366" s="676"/>
      <c r="F366" s="676"/>
      <c r="G366" s="676"/>
      <c r="H366" s="676"/>
      <c r="I366" s="676"/>
      <c r="J366" s="676"/>
      <c r="K366" s="676"/>
      <c r="L366" s="676"/>
      <c r="M366" s="676"/>
      <c r="N366" s="676"/>
      <c r="O366" s="676"/>
      <c r="P366" s="676"/>
      <c r="Q366" s="676"/>
      <c r="R366" s="676"/>
      <c r="S366" s="676"/>
      <c r="T366" s="676"/>
      <c r="U366" s="676"/>
      <c r="V366" s="676"/>
      <c r="W366" s="676"/>
      <c r="X366" s="676"/>
      <c r="Y366" s="676"/>
      <c r="Z366" s="676"/>
      <c r="AA366" s="676"/>
      <c r="AB366" s="676"/>
      <c r="AC366" s="676"/>
      <c r="AD366" s="676"/>
      <c r="AE366" s="676"/>
      <c r="AF366" s="676"/>
    </row>
  </sheetData>
  <sheetProtection algorithmName="SHA-512" hashValue="FsPiZN2O2VY/Hpum1HWjq2QnQuB6gE0kvbOlr0HmYMCTBcrQHMSDn4vzIKXS9rmWtNS1sH7x0XCJRXO74iuG7Q==" saltValue="lr4plECzSKGGk61FjI+WrQ==" spinCount="100000" sheet="1" selectLockedCells="1"/>
  <customSheetViews>
    <customSheetView guid="{695F2D09-97F7-4A62-ACE9-B0C2EFD91E95}" state="hidden">
      <selection activeCell="A67" sqref="A67:XFD67"/>
      <pageMargins left="0.7" right="0.7" top="0.75" bottom="0.75" header="0.3" footer="0.3"/>
    </customSheetView>
  </customSheetViews>
  <conditionalFormatting sqref="S4:S365">
    <cfRule type="cellIs" dxfId="1" priority="1" operator="equal">
      <formula>"FALSE"</formula>
    </cfRule>
    <cfRule type="cellIs" dxfId="0" priority="2" operator="equal">
      <formula>"True"</formula>
    </cfRule>
  </conditionalFormatting>
  <pageMargins left="0.7" right="0.7" top="0.75" bottom="0.75" header="0.3" footer="0.3"/>
  <pageSetup orientation="portrait" verticalDpi="300"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1A7AA9594B4269438CAB7C3A8715798A" ma:contentTypeVersion="5" ma:contentTypeDescription="Create a new document." ma:contentTypeScope="" ma:versionID="dea3a2f28686b2f953e7aacbaa0ab24c">
  <xsd:schema xmlns:xsd="http://www.w3.org/2001/XMLSchema" xmlns:p="http://schemas.microsoft.com/office/2006/metadata/properties" targetNamespace="http://schemas.microsoft.com/office/2006/metadata/properties" ma:root="true" ma:fieldsID="4aeb20c0e3442673af7ee10786458764">
    <xsd:element name="properties">
      <xsd:complexType>
        <xsd:sequence>
          <xsd:element name="documentManagement">
            <xsd:complexType>
              <xsd:all/>
            </xsd:complexType>
          </xsd:element>
        </xsd:sequence>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office/internal/2005/internalDocumentation"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ma:readOnly="tru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lastPrinted" minOccurs="0" maxOccurs="1" type="xsd:dateTime"/>
        <xsd:element name="contentStatus" minOccurs="0" maxOccurs="1" type="xsd:string"/>
      </xsd:all>
    </xsd:complexType>
  </xsd:schema>
</ct:contentTypeSchema>
</file>

<file path=customXml/item2.xml><?xml version="1.0" encoding="utf-8"?>
<LongProperties xmlns="http://schemas.microsoft.com/office/2006/metadata/longProperties"/>
</file>

<file path=customXml/item3.xml><?xml version="1.0" encoding="utf-8"?>
<p:properties xmlns:p="http://schemas.microsoft.com/office/2006/metadata/properties" xmlns:xsi="http://www.w3.org/2001/XMLSchema-instance">
  <documentManagement/>
</p:properties>
</file>

<file path=customXml/item4.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0096869E-52B7-4801-BB87-9CA9C70C245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openxmlformats.org/package/2006/metadata/core-properties"/>
    <ds:schemaRef ds:uri="http://purl.org/dc/elements/1.1/"/>
    <ds:schemaRef ds:uri="http://purl.org/dc/terms/"/>
    <ds:schemaRef ds:uri="http://schemas.microsoft.com/office/internal/2005/internalDocumentation"/>
  </ds:schemaRefs>
</ds:datastoreItem>
</file>

<file path=customXml/itemProps2.xml><?xml version="1.0" encoding="utf-8"?>
<ds:datastoreItem xmlns:ds="http://schemas.openxmlformats.org/officeDocument/2006/customXml" ds:itemID="{2EAF8797-3185-4400-AA2B-9665735E30F4}">
  <ds:schemaRefs>
    <ds:schemaRef ds:uri="http://schemas.microsoft.com/office/2006/metadata/longProperties"/>
  </ds:schemaRefs>
</ds:datastoreItem>
</file>

<file path=customXml/itemProps3.xml><?xml version="1.0" encoding="utf-8"?>
<ds:datastoreItem xmlns:ds="http://schemas.openxmlformats.org/officeDocument/2006/customXml" ds:itemID="{1D8CDE42-7ADA-4EF9-B8AE-2E53D87FB4CB}">
  <ds:schemaRefs>
    <ds:schemaRef ds:uri="http://schemas.openxmlformats.org/package/2006/metadata/core-properties"/>
    <ds:schemaRef ds:uri="http://purl.org/dc/elements/1.1/"/>
    <ds:schemaRef ds:uri="http://purl.org/dc/dcmitype/"/>
    <ds:schemaRef ds:uri="http://purl.org/dc/terms/"/>
    <ds:schemaRef ds:uri="http://www.w3.org/XML/1998/namespace"/>
    <ds:schemaRef ds:uri="http://schemas.microsoft.com/office/2006/documentManagement/types"/>
    <ds:schemaRef ds:uri="http://schemas.microsoft.com/office/2006/metadata/properties"/>
  </ds:schemaRefs>
</ds:datastoreItem>
</file>

<file path=customXml/itemProps4.xml><?xml version="1.0" encoding="utf-8"?>
<ds:datastoreItem xmlns:ds="http://schemas.openxmlformats.org/officeDocument/2006/customXml" ds:itemID="{1193A0FE-F48B-412E-8CF1-F3E57CA0B22B}">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12</vt:i4>
      </vt:variant>
      <vt:variant>
        <vt:lpstr>Named Ranges</vt:lpstr>
      </vt:variant>
      <vt:variant>
        <vt:i4>22</vt:i4>
      </vt:variant>
    </vt:vector>
  </HeadingPairs>
  <TitlesOfParts>
    <vt:vector size="34" baseType="lpstr">
      <vt:lpstr>Revisions</vt:lpstr>
      <vt:lpstr>Download</vt:lpstr>
      <vt:lpstr>USDA Income Limits</vt:lpstr>
      <vt:lpstr>RBA Data</vt:lpstr>
      <vt:lpstr>Project Information</vt:lpstr>
      <vt:lpstr>Rental Project Worksheet</vt:lpstr>
      <vt:lpstr>Development Budget Worksheet</vt:lpstr>
      <vt:lpstr>Sources of Funds Worksheet</vt:lpstr>
      <vt:lpstr>Housing Pro Forma</vt:lpstr>
      <vt:lpstr>Services Pro Forma</vt:lpstr>
      <vt:lpstr>Feasibility Analysis Worksheet</vt:lpstr>
      <vt:lpstr>Income Limits</vt:lpstr>
      <vt:lpstr>County</vt:lpstr>
      <vt:lpstr>Date</vt:lpstr>
      <vt:lpstr>Effective_Date</vt:lpstr>
      <vt:lpstr>Effective_Date_Year</vt:lpstr>
      <vt:lpstr>IncomeLimits</vt:lpstr>
      <vt:lpstr>'Development Budget Worksheet'!Print_Area</vt:lpstr>
      <vt:lpstr>'Feasibility Analysis Worksheet'!Print_Area</vt:lpstr>
      <vt:lpstr>'Housing Pro Forma'!Print_Area</vt:lpstr>
      <vt:lpstr>'Project Information'!Print_Area</vt:lpstr>
      <vt:lpstr>'Rental Project Worksheet'!Print_Area</vt:lpstr>
      <vt:lpstr>'Services Pro Forma'!Print_Area</vt:lpstr>
      <vt:lpstr>'Sources of Funds Worksheet'!Print_Area</vt:lpstr>
      <vt:lpstr>'Development Budget Worksheet'!Print_Titles</vt:lpstr>
      <vt:lpstr>'Housing Pro Forma'!Print_Titles</vt:lpstr>
      <vt:lpstr>'Services Pro Forma'!Print_Titles</vt:lpstr>
      <vt:lpstr>USDA_2021_Income_Limits</vt:lpstr>
      <vt:lpstr>USDA_2022_Income_Limits</vt:lpstr>
      <vt:lpstr>USDA_2023_Income_Limits</vt:lpstr>
      <vt:lpstr>USDA_2024_Income_Limits</vt:lpstr>
      <vt:lpstr>USDA_2025_Income_Limits</vt:lpstr>
      <vt:lpstr>USDA_Counties</vt:lpstr>
      <vt:lpstr>Year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Eric.Degenhardt@FHLBTopeka.com</dc:creator>
  <cp:lastModifiedBy>Katie Gnagi</cp:lastModifiedBy>
  <cp:lastPrinted>2019-04-01T18:23:41Z</cp:lastPrinted>
  <dcterms:created xsi:type="dcterms:W3CDTF">1998-01-16T08:28:34Z</dcterms:created>
  <dcterms:modified xsi:type="dcterms:W3CDTF">2025-08-21T18:50:09Z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
    <vt:lpwstr>Document</vt:lpwstr>
  </property>
  <property fmtid="{D5CDD505-2E9C-101B-9397-08002B2CF9AE}" pid="3" name="ContentTypeId">
    <vt:lpwstr>0x0101001A7AA9594B4269438CAB7C3A8715798A</vt:lpwstr>
  </property>
  <property fmtid="{D5CDD505-2E9C-101B-9397-08002B2CF9AE}" pid="4" name="Procedure number">
    <vt:lpwstr>7.67</vt:lpwstr>
  </property>
  <property fmtid="{D5CDD505-2E9C-101B-9397-08002B2CF9AE}" pid="5" name="Link">
    <vt:lpwstr/>
  </property>
  <property fmtid="{D5CDD505-2E9C-101B-9397-08002B2CF9AE}" pid="6" name="{A44787D4-0540-4523-9961-78E4036D8C6D}">
    <vt:lpwstr>{68E7FAEE-48AA-425B-932A-B557608FA612}</vt:lpwstr>
  </property>
  <property fmtid="{D5CDD505-2E9C-101B-9397-08002B2CF9AE}" pid="7" name="MSIP_Label_d7807fb1-3c85-45b2-8374-23fac474382d_Enabled">
    <vt:lpwstr>true</vt:lpwstr>
  </property>
  <property fmtid="{D5CDD505-2E9C-101B-9397-08002B2CF9AE}" pid="8" name="MSIP_Label_d7807fb1-3c85-45b2-8374-23fac474382d_SetDate">
    <vt:lpwstr>2021-04-26T20:03:36Z</vt:lpwstr>
  </property>
  <property fmtid="{D5CDD505-2E9C-101B-9397-08002B2CF9AE}" pid="9" name="MSIP_Label_d7807fb1-3c85-45b2-8374-23fac474382d_Method">
    <vt:lpwstr>Privileged</vt:lpwstr>
  </property>
  <property fmtid="{D5CDD505-2E9C-101B-9397-08002B2CF9AE}" pid="10" name="MSIP_Label_d7807fb1-3c85-45b2-8374-23fac474382d_Name">
    <vt:lpwstr>d7807fb1-3c85-45b2-8374-23fac474382d</vt:lpwstr>
  </property>
  <property fmtid="{D5CDD505-2E9C-101B-9397-08002B2CF9AE}" pid="11" name="MSIP_Label_d7807fb1-3c85-45b2-8374-23fac474382d_SiteId">
    <vt:lpwstr>d1273393-c6b6-4abf-b2c7-8b199d33b87b</vt:lpwstr>
  </property>
  <property fmtid="{D5CDD505-2E9C-101B-9397-08002B2CF9AE}" pid="12" name="MSIP_Label_d7807fb1-3c85-45b2-8374-23fac474382d_ActionId">
    <vt:lpwstr>bfe5de68-3c30-4a52-880d-dd8d068c21a1</vt:lpwstr>
  </property>
  <property fmtid="{D5CDD505-2E9C-101B-9397-08002B2CF9AE}" pid="13" name="MSIP_Label_d7807fb1-3c85-45b2-8374-23fac474382d_ContentBits">
    <vt:lpwstr>0</vt:lpwstr>
  </property>
</Properties>
</file>