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always" codeName="ThisWorkbook" hidePivotFieldList="1"/>
  <mc:AlternateContent xmlns:mc="http://schemas.openxmlformats.org/markup-compatibility/2006">
    <mc:Choice Requires="x15">
      <x15ac:absPath xmlns:x15ac="http://schemas.microsoft.com/office/spreadsheetml/2010/11/ac" url="N:\CommInv\Procedures Binder\2026 Procedures Forms\Forms\Final\AHP\"/>
    </mc:Choice>
  </mc:AlternateContent>
  <xr:revisionPtr revIDLastSave="0" documentId="13_ncr:1_{59396BA7-F1EF-44ED-9733-5B5A2A372C83}" xr6:coauthVersionLast="47" xr6:coauthVersionMax="47" xr10:uidLastSave="{00000000-0000-0000-0000-000000000000}"/>
  <workbookProtection workbookAlgorithmName="SHA-512" workbookHashValue="vb1srxdpRE1l0AgUlC+Rj+NdbI3HZeJUaQJoBxCiTDl1yiDZb5M39UXFgj+6CvSFixJDntzKG9kvaexrwGdSmA==" workbookSaltValue="IrRcdLd5icY7QVsBiX8niA==" workbookSpinCount="100000" lockStructure="1"/>
  <bookViews>
    <workbookView xWindow="28680" yWindow="-120" windowWidth="29040" windowHeight="15720" tabRatio="740" xr2:uid="{00000000-000D-0000-FFFF-FFFF00000000}"/>
  </bookViews>
  <sheets>
    <sheet name="Project Information" sheetId="2" r:id="rId1"/>
    <sheet name="Development Budget Worksheet" sheetId="5" r:id="rId2"/>
    <sheet name="Sources of Funds Worksheet" sheetId="9" r:id="rId3"/>
    <sheet name="Housing Pro Forma" sheetId="10" r:id="rId4"/>
    <sheet name="Services Pro Forma" sheetId="11" r:id="rId5"/>
    <sheet name="Feasibility Analysis Worksheet" sheetId="13" r:id="rId6"/>
    <sheet name="Download" sheetId="20" state="hidden" r:id="rId7"/>
    <sheet name="Counties" sheetId="22" state="hidden" r:id="rId8"/>
    <sheet name="Revisions" sheetId="19" state="hidden" r:id="rId9"/>
    <sheet name="RBA Data" sheetId="25" state="hidden" r:id="rId10"/>
  </sheets>
  <externalReferences>
    <externalReference r:id="rId11"/>
  </externalReferences>
  <definedNames>
    <definedName name="anscount" hidden="1">1</definedName>
    <definedName name="County">Counties!$B$3:$B$366</definedName>
    <definedName name="Date" localSheetId="7">'[1]Project Information'!$E$5</definedName>
    <definedName name="Date">'Project Information'!#REF!</definedName>
    <definedName name="Effective_Date" localSheetId="7">'[1]USDA Income Limits'!$C$3:$C$30</definedName>
    <definedName name="Effective_Date_Year" localSheetId="7">'[1]USDA Income Limits'!$B$3:$B$30</definedName>
    <definedName name="IncomeLimits" localSheetId="7">Counties!$C$2:$AZ$402</definedName>
    <definedName name="_xlnm.Print_Area" localSheetId="1">'Development Budget Worksheet'!$A$6:$F$131</definedName>
    <definedName name="_xlnm.Print_Area" localSheetId="5">'Feasibility Analysis Worksheet'!$A$4:$H$31</definedName>
    <definedName name="_xlnm.Print_Area" localSheetId="3">'Housing Pro Forma'!$A$5:$S$74</definedName>
    <definedName name="_xlnm.Print_Area" localSheetId="0">'Project Information'!$A$3:$G$27</definedName>
    <definedName name="_xlnm.Print_Area" localSheetId="4">'Services Pro Forma'!$A$8:$Q$53</definedName>
    <definedName name="_xlnm.Print_Area" localSheetId="2">'Sources of Funds Worksheet'!$A$3:$P$48</definedName>
    <definedName name="_xlnm.Print_Titles" localSheetId="1">'Development Budget Worksheet'!$6:$6</definedName>
    <definedName name="_xlnm.Print_Titles" localSheetId="3">'Housing Pro Forma'!$A:$A</definedName>
    <definedName name="_xlnm.Print_Titles" localSheetId="4">'Services Pro Forma'!$A:$A</definedName>
    <definedName name="solver_adj" localSheetId="3" hidden="1">'Housing Pro Forma'!$E$49:$E$50,'Housing Pro Forma'!#REF!,'Housing Pro Forma'!$E$12,'Housing Pro Forma'!$E$14:$E$15,'Housing Pro Forma'!$D$13,'Housing Pro Forma'!$E$43:$E$45,'Housing Pro Forma'!$E$22:$E$35</definedName>
    <definedName name="solver_adj" localSheetId="4" hidden="1">'Services Pro Forma'!#REF!,'Services Pro Forma'!#REF!,'Services Pro Forma'!#REF!,'Services Pro Forma'!$C$15:$C$16,'Services Pro Forma'!#REF!,'Services Pro Forma'!#REF!,'Services Pro Forma'!$C$20:$C$39</definedName>
    <definedName name="solver_drv" localSheetId="3" hidden="1">1</definedName>
    <definedName name="solver_drv" localSheetId="4" hidden="1">1</definedName>
    <definedName name="solver_est" localSheetId="3" hidden="1">1</definedName>
    <definedName name="solver_est" localSheetId="4" hidden="1">1</definedName>
    <definedName name="solver_itr" localSheetId="3" hidden="1">100</definedName>
    <definedName name="solver_itr" localSheetId="4" hidden="1">100</definedName>
    <definedName name="solver_lin" localSheetId="3" hidden="1">0</definedName>
    <definedName name="solver_lin" localSheetId="4" hidden="1">0</definedName>
    <definedName name="solver_num" localSheetId="3" hidden="1">0</definedName>
    <definedName name="solver_num" localSheetId="4" hidden="1">0</definedName>
    <definedName name="solver_nwt" localSheetId="3" hidden="1">1</definedName>
    <definedName name="solver_nwt" localSheetId="4" hidden="1">1</definedName>
    <definedName name="solver_opt" localSheetId="3" hidden="1">'Housing Pro Forma'!$E$64</definedName>
    <definedName name="solver_opt" localSheetId="4" hidden="1">'Services Pro Forma'!#REF!</definedName>
    <definedName name="solver_pre" localSheetId="3" hidden="1">0.000001</definedName>
    <definedName name="solver_pre" localSheetId="4" hidden="1">0.000001</definedName>
    <definedName name="solver_scl" localSheetId="3" hidden="1">0</definedName>
    <definedName name="solver_scl" localSheetId="4" hidden="1">0</definedName>
    <definedName name="solver_sho" localSheetId="3" hidden="1">0</definedName>
    <definedName name="solver_sho" localSheetId="4" hidden="1">0</definedName>
    <definedName name="solver_tim" localSheetId="3" hidden="1">100</definedName>
    <definedName name="solver_tim" localSheetId="4" hidden="1">100</definedName>
    <definedName name="solver_tmp" localSheetId="3" hidden="1">'Housing Pro Forma'!$E$49:$E$50,'Housing Pro Forma'!#REF!,'Housing Pro Forma'!$E$12,'Housing Pro Forma'!$E$14:$E$15,'Housing Pro Forma'!$D$13,'Housing Pro Forma'!$E$43:$E$45,'Housing Pro Forma'!$E$22:$E$35</definedName>
    <definedName name="solver_tmp" localSheetId="4" hidden="1">'Services Pro Forma'!#REF!,'Services Pro Forma'!#REF!,'Services Pro Forma'!#REF!,'Services Pro Forma'!$C$15:$C$16,'Services Pro Forma'!#REF!,'Services Pro Forma'!#REF!,'Services Pro Forma'!$C$20:$C$39</definedName>
    <definedName name="solver_tol" localSheetId="3" hidden="1">0.05</definedName>
    <definedName name="solver_tol" localSheetId="4" hidden="1">0.05</definedName>
    <definedName name="solver_typ" localSheetId="3" hidden="1">3</definedName>
    <definedName name="solver_typ" localSheetId="4" hidden="1">3</definedName>
    <definedName name="solver_val" localSheetId="3" hidden="1">1.15</definedName>
    <definedName name="solver_val" localSheetId="4" hidden="1">1.15</definedName>
    <definedName name="USDA_Counties" localSheetId="7">'[1]USDA Income Limits'!$E$3:$E$366</definedName>
    <definedName name="Year" localSheetId="7">Counties!$C$2:$AZ$2</definedName>
    <definedName name="Z_695F2D09_97F7_4A62_ACE9_B0C2EFD91E95_.wvu.Cols" localSheetId="1" hidden="1">'Development Budget Worksheet'!$G:$H</definedName>
    <definedName name="Z_695F2D09_97F7_4A62_ACE9_B0C2EFD91E95_.wvu.Cols" localSheetId="3" hidden="1">'Housing Pro Forma'!$U:$U</definedName>
    <definedName name="Z_695F2D09_97F7_4A62_ACE9_B0C2EFD91E95_.wvu.Cols" localSheetId="4" hidden="1">'Services Pro Forma'!$T:$T</definedName>
    <definedName name="Z_695F2D09_97F7_4A62_ACE9_B0C2EFD91E95_.wvu.Cols" localSheetId="2" hidden="1">'Sources of Funds Worksheet'!$R:$AN</definedName>
    <definedName name="Z_695F2D09_97F7_4A62_ACE9_B0C2EFD91E95_.wvu.PrintArea" localSheetId="1" hidden="1">'Development Budget Worksheet'!$A$6:$F$131</definedName>
    <definedName name="Z_695F2D09_97F7_4A62_ACE9_B0C2EFD91E95_.wvu.PrintArea" localSheetId="5" hidden="1">'Feasibility Analysis Worksheet'!$A$4:$H$31</definedName>
    <definedName name="Z_695F2D09_97F7_4A62_ACE9_B0C2EFD91E95_.wvu.PrintArea" localSheetId="3" hidden="1">'Housing Pro Forma'!$A$5:$S$74</definedName>
    <definedName name="Z_695F2D09_97F7_4A62_ACE9_B0C2EFD91E95_.wvu.PrintArea" localSheetId="0" hidden="1">'Project Information'!$A$3:$F$12</definedName>
    <definedName name="Z_695F2D09_97F7_4A62_ACE9_B0C2EFD91E95_.wvu.PrintArea" localSheetId="4" hidden="1">'Services Pro Forma'!$A$8:$Q$53</definedName>
    <definedName name="Z_695F2D09_97F7_4A62_ACE9_B0C2EFD91E95_.wvu.PrintArea" localSheetId="2" hidden="1">'Sources of Funds Worksheet'!$A$3:$P$48</definedName>
    <definedName name="Z_695F2D09_97F7_4A62_ACE9_B0C2EFD91E95_.wvu.PrintTitles" localSheetId="1" hidden="1">'Development Budget Worksheet'!$6:$6</definedName>
    <definedName name="Z_695F2D09_97F7_4A62_ACE9_B0C2EFD91E95_.wvu.PrintTitles" localSheetId="3" hidden="1">'Housing Pro Forma'!$A:$A</definedName>
    <definedName name="Z_695F2D09_97F7_4A62_ACE9_B0C2EFD91E95_.wvu.PrintTitles" localSheetId="4"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7" i="11" l="1"/>
  <c r="E17" i="11" s="1"/>
  <c r="F17" i="11" s="1"/>
  <c r="G17" i="11" s="1"/>
  <c r="H17" i="11" s="1"/>
  <c r="I17" i="11" s="1"/>
  <c r="J17" i="11" s="1"/>
  <c r="K17" i="11" s="1"/>
  <c r="L17" i="11" s="1"/>
  <c r="M17" i="11" s="1"/>
  <c r="N17" i="11" s="1"/>
  <c r="O17" i="11" s="1"/>
  <c r="P17" i="11" s="1"/>
  <c r="Q17" i="11" s="1"/>
  <c r="D16" i="11"/>
  <c r="E16" i="11" s="1"/>
  <c r="F16" i="11" s="1"/>
  <c r="G16" i="11" s="1"/>
  <c r="H16" i="11" s="1"/>
  <c r="I16" i="11" s="1"/>
  <c r="J16" i="11" s="1"/>
  <c r="K16" i="11" s="1"/>
  <c r="L16" i="11" s="1"/>
  <c r="M16" i="11" s="1"/>
  <c r="N16" i="11" s="1"/>
  <c r="O16" i="11" s="1"/>
  <c r="P16" i="11" s="1"/>
  <c r="Q16" i="11" s="1"/>
  <c r="G60" i="10"/>
  <c r="H60" i="10" s="1"/>
  <c r="I60" i="10" s="1"/>
  <c r="J60" i="10" s="1"/>
  <c r="K60" i="10" s="1"/>
  <c r="L60" i="10" s="1"/>
  <c r="M60" i="10" s="1"/>
  <c r="N60" i="10" s="1"/>
  <c r="O60" i="10" s="1"/>
  <c r="P60" i="10" s="1"/>
  <c r="Q60" i="10" s="1"/>
  <c r="R60" i="10" s="1"/>
  <c r="S60" i="10" s="1"/>
  <c r="F60" i="10"/>
  <c r="D113" i="5" l="1"/>
  <c r="E113" i="5" s="1"/>
  <c r="D115" i="5"/>
  <c r="E115" i="5" s="1"/>
  <c r="D107" i="5"/>
  <c r="E107" i="5" s="1"/>
  <c r="D98" i="5"/>
  <c r="E98" i="5" s="1"/>
  <c r="D100" i="5"/>
  <c r="E100" i="5" s="1"/>
  <c r="D101" i="5"/>
  <c r="E101" i="5" s="1"/>
  <c r="D97" i="5"/>
  <c r="E97" i="5" s="1"/>
  <c r="D91" i="5"/>
  <c r="E91" i="5" s="1"/>
  <c r="D74" i="5"/>
  <c r="E74" i="5" s="1"/>
  <c r="D75" i="5"/>
  <c r="E75" i="5" s="1"/>
  <c r="D77" i="5"/>
  <c r="E77" i="5" s="1"/>
  <c r="D79" i="5"/>
  <c r="E79" i="5" s="1"/>
  <c r="D72" i="5"/>
  <c r="E72" i="5" s="1"/>
  <c r="D57" i="5"/>
  <c r="E57" i="5" s="1"/>
  <c r="D59" i="5"/>
  <c r="E59" i="5" s="1"/>
  <c r="D62" i="5"/>
  <c r="E62" i="5" s="1"/>
  <c r="D63" i="5"/>
  <c r="E63" i="5" s="1"/>
  <c r="D66" i="5"/>
  <c r="E66" i="5" s="1"/>
  <c r="D67" i="5"/>
  <c r="E67" i="5" s="1"/>
  <c r="D46" i="5"/>
  <c r="E46" i="5" s="1"/>
  <c r="D48" i="5"/>
  <c r="E48" i="5" s="1"/>
  <c r="D49" i="5"/>
  <c r="E49" i="5" s="1"/>
  <c r="D31" i="5"/>
  <c r="E31" i="5" s="1"/>
  <c r="D32" i="5"/>
  <c r="E32" i="5" s="1"/>
  <c r="D37" i="5"/>
  <c r="E37" i="5" s="1"/>
  <c r="D38" i="5"/>
  <c r="E38" i="5" s="1"/>
  <c r="D39" i="5"/>
  <c r="E39" i="5" s="1"/>
  <c r="D19" i="5"/>
  <c r="E19" i="5" s="1"/>
  <c r="D20" i="5"/>
  <c r="E20" i="5" s="1"/>
  <c r="D22" i="5"/>
  <c r="E22" i="5" s="1"/>
  <c r="D23" i="5"/>
  <c r="E23" i="5" s="1"/>
  <c r="D24" i="5"/>
  <c r="E24" i="5" s="1"/>
  <c r="D25" i="5"/>
  <c r="E25" i="5" s="1"/>
  <c r="D26" i="5"/>
  <c r="E26" i="5" s="1"/>
  <c r="D17" i="5"/>
  <c r="E17" i="5" s="1"/>
  <c r="D9" i="5"/>
  <c r="E9" i="5" s="1"/>
  <c r="D12" i="5"/>
  <c r="E12" i="5" s="1"/>
  <c r="D13" i="5"/>
  <c r="E13" i="5" s="1"/>
  <c r="D8" i="5"/>
  <c r="E8" i="5" s="1"/>
  <c r="N24" i="9"/>
  <c r="N25" i="9"/>
  <c r="N23" i="9"/>
  <c r="N7" i="9"/>
  <c r="K26" i="9"/>
  <c r="J26" i="9"/>
  <c r="B83" i="25" l="1"/>
  <c r="B82" i="25"/>
  <c r="B81" i="25"/>
  <c r="B80" i="25"/>
  <c r="B79" i="25"/>
  <c r="B78" i="25"/>
  <c r="B77" i="25"/>
  <c r="B76" i="25"/>
  <c r="B75" i="25"/>
  <c r="B74" i="25"/>
  <c r="B73" i="25"/>
  <c r="B72" i="25"/>
  <c r="B71" i="25"/>
  <c r="B70" i="25"/>
  <c r="B69" i="25"/>
  <c r="B68" i="25"/>
  <c r="B67" i="25"/>
  <c r="B65" i="25"/>
  <c r="B66" i="25"/>
  <c r="B84" i="25"/>
  <c r="B85" i="25"/>
  <c r="B64" i="25"/>
  <c r="B63" i="25"/>
  <c r="B5" i="25"/>
  <c r="B4" i="25"/>
  <c r="B2" i="25"/>
  <c r="D50" i="9" l="1"/>
  <c r="B481" i="20" l="1" a="1"/>
  <c r="B481" i="20" s="1"/>
  <c r="AR7" i="9"/>
  <c r="AR8" i="9"/>
  <c r="AR9" i="9"/>
  <c r="AR10" i="9"/>
  <c r="AR11" i="9"/>
  <c r="AR12" i="9"/>
  <c r="AR13" i="9"/>
  <c r="AR14" i="9"/>
  <c r="AR15" i="9"/>
  <c r="AR16" i="9"/>
  <c r="AR17" i="9"/>
  <c r="AR18" i="9"/>
  <c r="AR6" i="9"/>
  <c r="AQ6" i="9"/>
  <c r="AQ7" i="9"/>
  <c r="AQ8" i="9"/>
  <c r="AQ9" i="9"/>
  <c r="AQ10" i="9"/>
  <c r="AQ11" i="9"/>
  <c r="AQ12" i="9"/>
  <c r="AQ13" i="9"/>
  <c r="AQ14" i="9"/>
  <c r="AQ15" i="9"/>
  <c r="AQ16" i="9"/>
  <c r="AQ17" i="9"/>
  <c r="AQ18" i="9"/>
  <c r="AL7" i="9"/>
  <c r="B324" i="20"/>
  <c r="AL18" i="9"/>
  <c r="D8" i="2"/>
  <c r="E29" i="13" l="1"/>
  <c r="H29" i="13" s="1"/>
  <c r="E30" i="13"/>
  <c r="H30" i="13" s="1"/>
  <c r="L21" i="9"/>
  <c r="O23" i="9"/>
  <c r="B29" i="13" l="1" a="1"/>
  <c r="B29" i="13" s="1"/>
  <c r="O24" i="9"/>
  <c r="L24" i="9" s="1"/>
  <c r="O25" i="9"/>
  <c r="L25" i="9" s="1"/>
  <c r="AK24" i="9"/>
  <c r="AK25" i="9"/>
  <c r="AJ24" i="9"/>
  <c r="AJ25" i="9"/>
  <c r="AI24" i="9"/>
  <c r="AI25" i="9"/>
  <c r="AH24" i="9"/>
  <c r="AH25" i="9"/>
  <c r="AG24" i="9"/>
  <c r="AG25" i="9"/>
  <c r="AF24" i="9"/>
  <c r="AF25" i="9"/>
  <c r="AE24" i="9"/>
  <c r="AE25" i="9"/>
  <c r="AD24" i="9"/>
  <c r="AD25" i="9"/>
  <c r="AC24" i="9"/>
  <c r="AC25" i="9"/>
  <c r="AB24" i="9"/>
  <c r="AB25" i="9"/>
  <c r="AA24" i="9"/>
  <c r="AA25" i="9"/>
  <c r="Z24" i="9"/>
  <c r="Z25" i="9"/>
  <c r="Y24" i="9"/>
  <c r="Y25" i="9"/>
  <c r="X24" i="9"/>
  <c r="X25" i="9"/>
  <c r="W24" i="9"/>
  <c r="W25" i="9"/>
  <c r="AK23" i="9"/>
  <c r="AJ23" i="9"/>
  <c r="AI23" i="9"/>
  <c r="AH23" i="9"/>
  <c r="AG23" i="9"/>
  <c r="AF23" i="9"/>
  <c r="AE23" i="9"/>
  <c r="AD23" i="9"/>
  <c r="AC23" i="9"/>
  <c r="AB23" i="9"/>
  <c r="AA23" i="9"/>
  <c r="Z23" i="9"/>
  <c r="L23" i="9"/>
  <c r="B30" i="13" l="1" a="1"/>
  <c r="B30" i="13" s="1"/>
  <c r="B477" i="20" s="1"/>
  <c r="B478" i="20"/>
  <c r="A4" i="13"/>
  <c r="E28" i="13" l="1"/>
  <c r="H28" i="13" s="1"/>
  <c r="AI26" i="9"/>
  <c r="Q56" i="10" s="1"/>
  <c r="AE26" i="9"/>
  <c r="M56" i="10" s="1"/>
  <c r="AA26" i="9"/>
  <c r="I56" i="10" s="1"/>
  <c r="U32" i="9"/>
  <c r="U33" i="9"/>
  <c r="U34" i="9"/>
  <c r="U35" i="9"/>
  <c r="U36" i="9"/>
  <c r="U37" i="9"/>
  <c r="U38" i="9"/>
  <c r="T32" i="9"/>
  <c r="T33" i="9"/>
  <c r="T34" i="9"/>
  <c r="T35" i="9"/>
  <c r="T36" i="9"/>
  <c r="T37" i="9"/>
  <c r="T38" i="9"/>
  <c r="U31" i="9"/>
  <c r="T31" i="9"/>
  <c r="F59" i="10"/>
  <c r="G59" i="10" s="1"/>
  <c r="H59" i="10" s="1"/>
  <c r="I59" i="10" s="1"/>
  <c r="J59" i="10" s="1"/>
  <c r="K59" i="10" s="1"/>
  <c r="L59" i="10" s="1"/>
  <c r="M59" i="10" s="1"/>
  <c r="N59" i="10" s="1"/>
  <c r="O59" i="10" s="1"/>
  <c r="P59" i="10" s="1"/>
  <c r="Q59" i="10" s="1"/>
  <c r="R59" i="10" s="1"/>
  <c r="S59" i="10" s="1"/>
  <c r="K40" i="9"/>
  <c r="D29" i="9"/>
  <c r="D30" i="9"/>
  <c r="H39" i="9"/>
  <c r="D26" i="9"/>
  <c r="K25" i="9"/>
  <c r="K24" i="9"/>
  <c r="K23" i="9"/>
  <c r="F15" i="2"/>
  <c r="B7" i="25" s="1"/>
  <c r="Y23" i="9" l="1"/>
  <c r="Y26" i="9" s="1"/>
  <c r="G56" i="10" s="1"/>
  <c r="X23" i="9"/>
  <c r="W23" i="9"/>
  <c r="W26" i="9" s="1"/>
  <c r="E56" i="10" s="1"/>
  <c r="B482" i="20"/>
  <c r="E5" i="10"/>
  <c r="F4" i="13"/>
  <c r="C7" i="13" s="1"/>
  <c r="D8" i="11"/>
  <c r="H10" i="2"/>
  <c r="AF26" i="9"/>
  <c r="N56" i="10" s="1"/>
  <c r="AC26" i="9"/>
  <c r="K56" i="10" s="1"/>
  <c r="AG26" i="9"/>
  <c r="O56" i="10" s="1"/>
  <c r="AK26" i="9"/>
  <c r="S56" i="10" s="1"/>
  <c r="AB26" i="9"/>
  <c r="J56" i="10" s="1"/>
  <c r="AJ26" i="9"/>
  <c r="R56" i="10" s="1"/>
  <c r="X26" i="9"/>
  <c r="F56" i="10" s="1"/>
  <c r="Z26" i="9"/>
  <c r="H56" i="10" s="1"/>
  <c r="AD26" i="9"/>
  <c r="L56" i="10" s="1"/>
  <c r="AH26" i="9"/>
  <c r="P56" i="10" s="1"/>
  <c r="H6" i="2"/>
  <c r="D39" i="9"/>
  <c r="F7" i="10" l="1"/>
  <c r="C81" i="5"/>
  <c r="F14" i="10" l="1"/>
  <c r="G14" i="10" s="1"/>
  <c r="H14" i="10" s="1"/>
  <c r="I14" i="10" s="1"/>
  <c r="J14" i="10" s="1"/>
  <c r="K14" i="10" s="1"/>
  <c r="L14" i="10" s="1"/>
  <c r="M14" i="10" s="1"/>
  <c r="N14" i="10" s="1"/>
  <c r="O14" i="10" s="1"/>
  <c r="P14" i="10" s="1"/>
  <c r="Q14" i="10" s="1"/>
  <c r="R14" i="10" s="1"/>
  <c r="S14" i="10" s="1"/>
  <c r="F43" i="10"/>
  <c r="G43" i="10" s="1"/>
  <c r="H43" i="10" s="1"/>
  <c r="I43" i="10" s="1"/>
  <c r="J43" i="10" s="1"/>
  <c r="K43" i="10" s="1"/>
  <c r="L43" i="10" s="1"/>
  <c r="M43" i="10" s="1"/>
  <c r="N43" i="10" s="1"/>
  <c r="O43" i="10" s="1"/>
  <c r="P43" i="10" s="1"/>
  <c r="Q43" i="10" s="1"/>
  <c r="R43" i="10" s="1"/>
  <c r="S43" i="10" s="1"/>
  <c r="P5" i="9" l="1"/>
  <c r="P6" i="9"/>
  <c r="P8" i="9"/>
  <c r="P9" i="9"/>
  <c r="P10" i="9"/>
  <c r="P11" i="9"/>
  <c r="P12" i="9"/>
  <c r="P13" i="9"/>
  <c r="P14" i="9"/>
  <c r="P15" i="9"/>
  <c r="P16" i="9"/>
  <c r="P17" i="9"/>
  <c r="P18" i="9"/>
  <c r="P19" i="9"/>
  <c r="P7" i="9"/>
  <c r="B400" i="20" l="1"/>
  <c r="H14" i="2" l="1"/>
  <c r="B309" i="20" s="1"/>
  <c r="B359" i="20"/>
  <c r="H9" i="2"/>
  <c r="B336" i="20" s="1"/>
  <c r="H7" i="2"/>
  <c r="B398" i="20" s="1"/>
  <c r="H12" i="2"/>
  <c r="H11" i="2"/>
  <c r="H13" i="2"/>
  <c r="B428" i="20" s="1"/>
  <c r="C15" i="2" l="1"/>
  <c r="B360" i="20" l="1"/>
  <c r="H8" i="2"/>
  <c r="H19" i="5" l="1"/>
  <c r="H39" i="5"/>
  <c r="H21" i="5"/>
  <c r="D21" i="5" s="1"/>
  <c r="E21" i="5" s="1"/>
  <c r="H92" i="5"/>
  <c r="D92" i="5" s="1"/>
  <c r="E92" i="5" s="1"/>
  <c r="H100" i="5"/>
  <c r="H75" i="5"/>
  <c r="H68" i="5"/>
  <c r="D68" i="5" s="1"/>
  <c r="E68" i="5" s="1"/>
  <c r="H101" i="5"/>
  <c r="H40" i="5"/>
  <c r="D40" i="5" s="1"/>
  <c r="E40" i="5" s="1"/>
  <c r="H59" i="5"/>
  <c r="H31" i="5"/>
  <c r="H93" i="5"/>
  <c r="D93" i="5" s="1"/>
  <c r="E93" i="5" s="1"/>
  <c r="H8" i="5"/>
  <c r="H30" i="5"/>
  <c r="D30" i="5" s="1"/>
  <c r="E30" i="5" s="1"/>
  <c r="H49" i="5"/>
  <c r="H57" i="5"/>
  <c r="H88" i="5"/>
  <c r="D88" i="5" s="1"/>
  <c r="E88" i="5" s="1"/>
  <c r="H113" i="5"/>
  <c r="H63" i="5"/>
  <c r="H115" i="5"/>
  <c r="H50" i="5"/>
  <c r="D50" i="5" s="1"/>
  <c r="E50" i="5" s="1"/>
  <c r="H89" i="5"/>
  <c r="D89" i="5" s="1"/>
  <c r="E89" i="5" s="1"/>
  <c r="H24" i="5"/>
  <c r="H33" i="5"/>
  <c r="D33" i="5" s="1"/>
  <c r="E33" i="5" s="1"/>
  <c r="H64" i="5"/>
  <c r="D64" i="5" s="1"/>
  <c r="E64" i="5" s="1"/>
  <c r="H73" i="5"/>
  <c r="D73" i="5" s="1"/>
  <c r="E73" i="5" s="1"/>
  <c r="H105" i="5"/>
  <c r="D105" i="5" s="1"/>
  <c r="E105" i="5" s="1"/>
  <c r="H86" i="5"/>
  <c r="D86" i="5" s="1"/>
  <c r="E86" i="5" s="1"/>
  <c r="H114" i="5"/>
  <c r="D114" i="5" s="1"/>
  <c r="E114" i="5" s="1"/>
  <c r="H61" i="5"/>
  <c r="D61" i="5" s="1"/>
  <c r="E61" i="5" s="1"/>
  <c r="H9" i="5"/>
  <c r="H107" i="5"/>
  <c r="H12" i="5"/>
  <c r="H32" i="5"/>
  <c r="H76" i="5"/>
  <c r="D76" i="5" s="1"/>
  <c r="E76" i="5" s="1"/>
  <c r="H11" i="5"/>
  <c r="D11" i="5" s="1"/>
  <c r="E11" i="5" s="1"/>
  <c r="H46" i="5"/>
  <c r="H85" i="5"/>
  <c r="D85" i="5" s="1"/>
  <c r="E85" i="5" s="1"/>
  <c r="H10" i="5"/>
  <c r="D10" i="5" s="1"/>
  <c r="E10" i="5" s="1"/>
  <c r="H38" i="5"/>
  <c r="H56" i="5"/>
  <c r="D56" i="5" s="1"/>
  <c r="E56" i="5" s="1"/>
  <c r="H78" i="5"/>
  <c r="D78" i="5" s="1"/>
  <c r="E78" i="5" s="1"/>
  <c r="H97" i="5"/>
  <c r="H17" i="5"/>
  <c r="H80" i="5"/>
  <c r="D80" i="5" s="1"/>
  <c r="E80" i="5" s="1"/>
  <c r="H26" i="5"/>
  <c r="H66" i="5"/>
  <c r="H106" i="5"/>
  <c r="H20" i="5"/>
  <c r="H52" i="5"/>
  <c r="D52" i="5" s="1"/>
  <c r="E52" i="5" s="1"/>
  <c r="H60" i="5"/>
  <c r="D60" i="5" s="1"/>
  <c r="E60" i="5" s="1"/>
  <c r="H91" i="5"/>
  <c r="H116" i="5"/>
  <c r="D116" i="5" s="1"/>
  <c r="E116" i="5" s="1"/>
  <c r="H67" i="5"/>
  <c r="H79" i="5"/>
  <c r="H45" i="5"/>
  <c r="D45" i="5" s="1"/>
  <c r="E45" i="5" s="1"/>
  <c r="H111" i="5"/>
  <c r="H51" i="5"/>
  <c r="D51" i="5" s="1"/>
  <c r="E51" i="5" s="1"/>
  <c r="H35" i="5"/>
  <c r="D35" i="5" s="1"/>
  <c r="E35" i="5" s="1"/>
  <c r="H37" i="5"/>
  <c r="H77" i="5"/>
  <c r="H23" i="5"/>
  <c r="H47" i="5"/>
  <c r="D47" i="5" s="1"/>
  <c r="E47" i="5" s="1"/>
  <c r="H90" i="5"/>
  <c r="D90" i="5" s="1"/>
  <c r="E90" i="5" s="1"/>
  <c r="H22" i="5"/>
  <c r="H62" i="5"/>
  <c r="H99" i="5"/>
  <c r="D99" i="5" s="1"/>
  <c r="E99" i="5" s="1"/>
  <c r="H25" i="5"/>
  <c r="H34" i="5"/>
  <c r="D34" i="5" s="1"/>
  <c r="E34" i="5" s="1"/>
  <c r="H65" i="5"/>
  <c r="D65" i="5" s="1"/>
  <c r="E65" i="5" s="1"/>
  <c r="H74" i="5"/>
  <c r="H98" i="5"/>
  <c r="H36" i="5"/>
  <c r="D36" i="5" s="1"/>
  <c r="E36" i="5" s="1"/>
  <c r="H84" i="5"/>
  <c r="D84" i="5" s="1"/>
  <c r="E84" i="5" s="1"/>
  <c r="H18" i="5"/>
  <c r="D18" i="5" s="1"/>
  <c r="E18" i="5" s="1"/>
  <c r="H58" i="5"/>
  <c r="D58" i="5" s="1"/>
  <c r="E58" i="5" s="1"/>
  <c r="H13" i="5"/>
  <c r="H41" i="5"/>
  <c r="D41" i="5" s="1"/>
  <c r="E41" i="5" s="1"/>
  <c r="H48" i="5"/>
  <c r="H72" i="5"/>
  <c r="H87" i="5"/>
  <c r="D87" i="5" s="1"/>
  <c r="E87" i="5" s="1"/>
  <c r="H112" i="5"/>
  <c r="D112" i="5" s="1"/>
  <c r="E112" i="5" s="1"/>
  <c r="B337" i="20"/>
  <c r="K15" i="9"/>
  <c r="B119" i="20" s="1"/>
  <c r="K16" i="9"/>
  <c r="B130" i="20" s="1"/>
  <c r="K17" i="9"/>
  <c r="K18" i="9"/>
  <c r="B97" i="20" s="1"/>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9" i="9"/>
  <c r="AJ9" i="9"/>
  <c r="AI9" i="9"/>
  <c r="AH9" i="9"/>
  <c r="AG9" i="9"/>
  <c r="AF9" i="9"/>
  <c r="AE9" i="9"/>
  <c r="AD9" i="9"/>
  <c r="AC9" i="9"/>
  <c r="AB9" i="9"/>
  <c r="AA9" i="9"/>
  <c r="Z9" i="9"/>
  <c r="Y9" i="9"/>
  <c r="X9" i="9"/>
  <c r="W9" i="9"/>
  <c r="AK8" i="9"/>
  <c r="AJ8" i="9"/>
  <c r="AI8" i="9"/>
  <c r="AH8" i="9"/>
  <c r="AG8" i="9"/>
  <c r="AF8" i="9"/>
  <c r="AE8" i="9"/>
  <c r="AD8" i="9"/>
  <c r="AC8" i="9"/>
  <c r="AB8" i="9"/>
  <c r="AA8" i="9"/>
  <c r="Z8" i="9"/>
  <c r="Y8" i="9"/>
  <c r="X8" i="9"/>
  <c r="W8" i="9"/>
  <c r="Q11" i="9"/>
  <c r="B144" i="20" s="1"/>
  <c r="B147" i="20"/>
  <c r="B145" i="20"/>
  <c r="S17" i="9"/>
  <c r="B134" i="20" s="1"/>
  <c r="S16" i="9"/>
  <c r="B123" i="20" s="1"/>
  <c r="S15" i="9"/>
  <c r="B112" i="20" s="1"/>
  <c r="S19" i="9"/>
  <c r="B101" i="20" s="1"/>
  <c r="S18" i="9"/>
  <c r="B90" i="20" s="1"/>
  <c r="S14" i="9"/>
  <c r="B79" i="20" s="1"/>
  <c r="S13" i="9"/>
  <c r="B68" i="20" s="1"/>
  <c r="B57" i="20"/>
  <c r="S12" i="9"/>
  <c r="B46" i="20" s="1"/>
  <c r="B35" i="20"/>
  <c r="B24" i="20"/>
  <c r="B13" i="20"/>
  <c r="B2" i="20"/>
  <c r="F50" i="10"/>
  <c r="G50" i="10" s="1"/>
  <c r="B463" i="20"/>
  <c r="B464" i="20"/>
  <c r="R11" i="9"/>
  <c r="B146" i="20" s="1"/>
  <c r="B436" i="20"/>
  <c r="B414" i="20"/>
  <c r="J57" i="5"/>
  <c r="B313" i="20" s="1"/>
  <c r="B334" i="20"/>
  <c r="T7" i="9"/>
  <c r="B28" i="20" s="1"/>
  <c r="T9" i="9"/>
  <c r="B61" i="20" s="1"/>
  <c r="T10" i="9"/>
  <c r="B6" i="20" s="1"/>
  <c r="T11" i="9"/>
  <c r="B39" i="20" s="1"/>
  <c r="T12" i="9"/>
  <c r="B50" i="20" s="1"/>
  <c r="T13" i="9"/>
  <c r="B72" i="20" s="1"/>
  <c r="T14" i="9"/>
  <c r="B83" i="20" s="1"/>
  <c r="T16" i="9"/>
  <c r="B127" i="20" s="1"/>
  <c r="T17" i="9"/>
  <c r="B138" i="20" s="1"/>
  <c r="T18" i="9"/>
  <c r="B94" i="20" s="1"/>
  <c r="T19" i="9"/>
  <c r="B105" i="20" s="1"/>
  <c r="B122" i="20"/>
  <c r="T15" i="9"/>
  <c r="B116" i="20" s="1"/>
  <c r="T8" i="9"/>
  <c r="B17" i="20" s="1"/>
  <c r="B371" i="20"/>
  <c r="N19" i="9"/>
  <c r="O19" i="9" s="1"/>
  <c r="L19" i="9" s="1"/>
  <c r="N17" i="9"/>
  <c r="O17" i="9" s="1"/>
  <c r="L17" i="9" s="1"/>
  <c r="N16" i="9"/>
  <c r="O16" i="9" s="1"/>
  <c r="L16" i="9" s="1"/>
  <c r="N15" i="9"/>
  <c r="O15" i="9" s="1"/>
  <c r="L15" i="9" s="1"/>
  <c r="N14" i="9"/>
  <c r="O14" i="9" s="1"/>
  <c r="L14" i="9" s="1"/>
  <c r="N13" i="9"/>
  <c r="O13" i="9" s="1"/>
  <c r="L13" i="9" s="1"/>
  <c r="N12" i="9"/>
  <c r="O12" i="9" s="1"/>
  <c r="L12" i="9" s="1"/>
  <c r="N11" i="9"/>
  <c r="O11" i="9" s="1"/>
  <c r="L11" i="9" s="1"/>
  <c r="N10" i="9"/>
  <c r="O10" i="9" s="1"/>
  <c r="L10" i="9" s="1"/>
  <c r="N9" i="9"/>
  <c r="O9" i="9" s="1"/>
  <c r="L9" i="9" s="1"/>
  <c r="N8" i="9"/>
  <c r="O8" i="9" s="1"/>
  <c r="L8" i="9" s="1"/>
  <c r="N18" i="9"/>
  <c r="O18" i="9" s="1"/>
  <c r="L18" i="9" s="1"/>
  <c r="B413" i="20"/>
  <c r="B411" i="20"/>
  <c r="B409" i="20"/>
  <c r="B407" i="20"/>
  <c r="B405" i="20"/>
  <c r="B403" i="20"/>
  <c r="B386" i="20"/>
  <c r="B379" i="20"/>
  <c r="B374" i="20"/>
  <c r="B373" i="20"/>
  <c r="B372" i="20"/>
  <c r="B370" i="20"/>
  <c r="B367" i="20"/>
  <c r="B366" i="20"/>
  <c r="B365" i="20"/>
  <c r="J12" i="5"/>
  <c r="B364" i="20" s="1"/>
  <c r="B351" i="20"/>
  <c r="B350" i="20"/>
  <c r="B346" i="20"/>
  <c r="J58" i="5"/>
  <c r="B314" i="20" s="1"/>
  <c r="B141" i="20"/>
  <c r="B136" i="20"/>
  <c r="B135" i="20"/>
  <c r="B133" i="20"/>
  <c r="B125" i="20"/>
  <c r="B124" i="20"/>
  <c r="AM16" i="9"/>
  <c r="AL16" i="9"/>
  <c r="V17" i="9"/>
  <c r="B140" i="20" s="1"/>
  <c r="U17" i="9"/>
  <c r="B137" i="20" s="1"/>
  <c r="AO17" i="9"/>
  <c r="AM15" i="9"/>
  <c r="AL15" i="9"/>
  <c r="V16" i="9"/>
  <c r="B129" i="20" s="1"/>
  <c r="U16" i="9"/>
  <c r="B126" i="20" s="1"/>
  <c r="AO16" i="9"/>
  <c r="AM14" i="9"/>
  <c r="AL14" i="9"/>
  <c r="V15" i="9"/>
  <c r="B118" i="20" s="1"/>
  <c r="U15" i="9"/>
  <c r="B115" i="20" s="1"/>
  <c r="B120" i="20"/>
  <c r="B114" i="20"/>
  <c r="B113" i="20"/>
  <c r="B111" i="20"/>
  <c r="B103" i="20"/>
  <c r="B102" i="20"/>
  <c r="B100" i="20"/>
  <c r="B92" i="20"/>
  <c r="B91" i="20"/>
  <c r="B89" i="20"/>
  <c r="B81" i="20"/>
  <c r="B80" i="20"/>
  <c r="B78" i="20"/>
  <c r="B70" i="20"/>
  <c r="B69" i="20"/>
  <c r="B67" i="20"/>
  <c r="B59" i="20"/>
  <c r="B58" i="20"/>
  <c r="B56" i="20"/>
  <c r="U19" i="9"/>
  <c r="B104" i="20" s="1"/>
  <c r="U18" i="9"/>
  <c r="B93" i="20" s="1"/>
  <c r="U14" i="9"/>
  <c r="B82" i="20" s="1"/>
  <c r="U13" i="9"/>
  <c r="B71" i="20" s="1"/>
  <c r="U12" i="9"/>
  <c r="B49" i="20" s="1"/>
  <c r="U11" i="9"/>
  <c r="B38" i="20" s="1"/>
  <c r="U10" i="9"/>
  <c r="B5" i="20" s="1"/>
  <c r="U9" i="9"/>
  <c r="B60" i="20" s="1"/>
  <c r="U8" i="9"/>
  <c r="B16" i="20" s="1"/>
  <c r="U7" i="9"/>
  <c r="B27" i="20" s="1"/>
  <c r="U6" i="9"/>
  <c r="U5" i="9"/>
  <c r="B148" i="20" s="1"/>
  <c r="V19" i="9"/>
  <c r="B107" i="20" s="1"/>
  <c r="V18" i="9"/>
  <c r="B96" i="20" s="1"/>
  <c r="V14" i="9"/>
  <c r="B85" i="20" s="1"/>
  <c r="V13" i="9"/>
  <c r="B74" i="20" s="1"/>
  <c r="V12" i="9"/>
  <c r="B52" i="20" s="1"/>
  <c r="V11" i="9"/>
  <c r="B41" i="20" s="1"/>
  <c r="V10" i="9"/>
  <c r="B8" i="20" s="1"/>
  <c r="V9" i="9"/>
  <c r="B63" i="20" s="1"/>
  <c r="V8" i="9"/>
  <c r="B19" i="20" s="1"/>
  <c r="V7" i="9"/>
  <c r="B30" i="20" s="1"/>
  <c r="V6" i="9"/>
  <c r="V5" i="9"/>
  <c r="B151" i="20" s="1"/>
  <c r="B48" i="20"/>
  <c r="B47" i="20"/>
  <c r="B45" i="20"/>
  <c r="B37" i="20"/>
  <c r="B36" i="20"/>
  <c r="B34" i="20"/>
  <c r="B26" i="20"/>
  <c r="B25" i="20"/>
  <c r="B23" i="20"/>
  <c r="B15" i="20"/>
  <c r="B14" i="20"/>
  <c r="B12" i="20"/>
  <c r="B4" i="20"/>
  <c r="B3" i="20"/>
  <c r="B1" i="20"/>
  <c r="B142" i="20"/>
  <c r="B109" i="20"/>
  <c r="B87" i="20"/>
  <c r="B76" i="20"/>
  <c r="B54" i="20"/>
  <c r="AO9" i="9"/>
  <c r="B32" i="20"/>
  <c r="AO5" i="9"/>
  <c r="B149" i="20"/>
  <c r="B10" i="20"/>
  <c r="B7" i="2"/>
  <c r="A134" i="5"/>
  <c r="C27" i="5"/>
  <c r="J28" i="5" s="1"/>
  <c r="H40" i="9"/>
  <c r="H20" i="9"/>
  <c r="AL8" i="9"/>
  <c r="AL9" i="9"/>
  <c r="AL10" i="9"/>
  <c r="AL11" i="9"/>
  <c r="AL12" i="9"/>
  <c r="AL13" i="9"/>
  <c r="AL17" i="9"/>
  <c r="AL6" i="9"/>
  <c r="O7" i="9"/>
  <c r="L7" i="9" s="1"/>
  <c r="F49" i="10"/>
  <c r="C42" i="5"/>
  <c r="D28" i="11"/>
  <c r="E28" i="11" s="1"/>
  <c r="F28" i="11" s="1"/>
  <c r="G28" i="11" s="1"/>
  <c r="H28" i="11" s="1"/>
  <c r="I28" i="11" s="1"/>
  <c r="J28" i="11" s="1"/>
  <c r="K28" i="11" s="1"/>
  <c r="L28" i="11" s="1"/>
  <c r="M28" i="11" s="1"/>
  <c r="N28" i="11" s="1"/>
  <c r="O28" i="11" s="1"/>
  <c r="P28" i="11" s="1"/>
  <c r="Q28" i="11" s="1"/>
  <c r="D29" i="11"/>
  <c r="E29" i="11" s="1"/>
  <c r="F29" i="11" s="1"/>
  <c r="G29" i="11" s="1"/>
  <c r="H29" i="11" s="1"/>
  <c r="I29" i="11" s="1"/>
  <c r="J29" i="11" s="1"/>
  <c r="K29" i="11" s="1"/>
  <c r="L29" i="11" s="1"/>
  <c r="M29" i="11" s="1"/>
  <c r="N29" i="11" s="1"/>
  <c r="O29" i="11" s="1"/>
  <c r="P29" i="11" s="1"/>
  <c r="Q29" i="11" s="1"/>
  <c r="D30" i="11"/>
  <c r="E30" i="11" s="1"/>
  <c r="D31" i="11"/>
  <c r="E31" i="11"/>
  <c r="F31" i="11" s="1"/>
  <c r="G31" i="11" s="1"/>
  <c r="H31" i="11" s="1"/>
  <c r="I31" i="11" s="1"/>
  <c r="J31" i="11" s="1"/>
  <c r="K31" i="11" s="1"/>
  <c r="L31" i="11" s="1"/>
  <c r="M31" i="11" s="1"/>
  <c r="N31" i="11" s="1"/>
  <c r="O31" i="11" s="1"/>
  <c r="P31" i="11" s="1"/>
  <c r="Q31" i="11" s="1"/>
  <c r="D32" i="11"/>
  <c r="E32" i="11" s="1"/>
  <c r="F32" i="11" s="1"/>
  <c r="G32" i="11" s="1"/>
  <c r="H32" i="11" s="1"/>
  <c r="I32" i="11" s="1"/>
  <c r="J32" i="11" s="1"/>
  <c r="K32" i="11" s="1"/>
  <c r="L32" i="11" s="1"/>
  <c r="M32" i="11" s="1"/>
  <c r="N32" i="11" s="1"/>
  <c r="O32" i="11" s="1"/>
  <c r="P32" i="11" s="1"/>
  <c r="Q32" i="11" s="1"/>
  <c r="D33" i="11"/>
  <c r="E33" i="11"/>
  <c r="F33" i="11" s="1"/>
  <c r="G33" i="11" s="1"/>
  <c r="H33" i="11" s="1"/>
  <c r="I33" i="11" s="1"/>
  <c r="J33" i="11" s="1"/>
  <c r="K33" i="11" s="1"/>
  <c r="L33" i="11" s="1"/>
  <c r="M33" i="11" s="1"/>
  <c r="N33" i="11" s="1"/>
  <c r="O33" i="11" s="1"/>
  <c r="P33" i="11" s="1"/>
  <c r="Q33" i="11" s="1"/>
  <c r="D26" i="11"/>
  <c r="E26" i="11" s="1"/>
  <c r="F26" i="11" s="1"/>
  <c r="G26" i="11" s="1"/>
  <c r="H26" i="11" s="1"/>
  <c r="I26" i="11" s="1"/>
  <c r="J26" i="11" s="1"/>
  <c r="K26" i="11" s="1"/>
  <c r="L26" i="11" s="1"/>
  <c r="M26" i="11" s="1"/>
  <c r="N26" i="11" s="1"/>
  <c r="O26" i="11" s="1"/>
  <c r="P26" i="11" s="1"/>
  <c r="Q26" i="11" s="1"/>
  <c r="AM18" i="9"/>
  <c r="AM7" i="9"/>
  <c r="AM8" i="9"/>
  <c r="AM9" i="9"/>
  <c r="AM10" i="9"/>
  <c r="AM11" i="9"/>
  <c r="AM12" i="9"/>
  <c r="AM13" i="9"/>
  <c r="AM17" i="9"/>
  <c r="AM6" i="9"/>
  <c r="A12" i="11"/>
  <c r="F40" i="10"/>
  <c r="G40" i="10" s="1"/>
  <c r="H40" i="10" s="1"/>
  <c r="I40" i="10" s="1"/>
  <c r="J40" i="10" s="1"/>
  <c r="K40" i="10" s="1"/>
  <c r="L40" i="10" s="1"/>
  <c r="M40" i="10" s="1"/>
  <c r="N40" i="10" s="1"/>
  <c r="O40" i="10" s="1"/>
  <c r="P40" i="10" s="1"/>
  <c r="Q40" i="10" s="1"/>
  <c r="R40" i="10" s="1"/>
  <c r="S40" i="10" s="1"/>
  <c r="C108" i="5"/>
  <c r="C117" i="5"/>
  <c r="F15" i="10"/>
  <c r="G15" i="10" s="1"/>
  <c r="H15" i="10" s="1"/>
  <c r="I15" i="10" s="1"/>
  <c r="J15" i="10" s="1"/>
  <c r="K15" i="10" s="1"/>
  <c r="L15" i="10" s="1"/>
  <c r="M15" i="10" s="1"/>
  <c r="N15" i="10" s="1"/>
  <c r="O15" i="10" s="1"/>
  <c r="P15" i="10" s="1"/>
  <c r="Q15" i="10" s="1"/>
  <c r="R15" i="10" s="1"/>
  <c r="S15" i="10" s="1"/>
  <c r="B18" i="13"/>
  <c r="D50" i="10"/>
  <c r="B22" i="13"/>
  <c r="A11" i="11"/>
  <c r="F16" i="10"/>
  <c r="G16" i="10" s="1"/>
  <c r="H16" i="10" s="1"/>
  <c r="I16" i="10" s="1"/>
  <c r="J16" i="10" s="1"/>
  <c r="K16" i="10" s="1"/>
  <c r="L16" i="10" s="1"/>
  <c r="M16" i="10" s="1"/>
  <c r="N16" i="10" s="1"/>
  <c r="O16" i="10" s="1"/>
  <c r="P16" i="10" s="1"/>
  <c r="Q16" i="10" s="1"/>
  <c r="R16" i="10" s="1"/>
  <c r="S16" i="10" s="1"/>
  <c r="D38" i="11"/>
  <c r="E38" i="11" s="1"/>
  <c r="F38" i="11"/>
  <c r="G38" i="11" s="1"/>
  <c r="H38" i="11"/>
  <c r="I38" i="11" s="1"/>
  <c r="J38" i="11" s="1"/>
  <c r="K38" i="11" s="1"/>
  <c r="L38" i="11" s="1"/>
  <c r="M38" i="11" s="1"/>
  <c r="N38" i="11" s="1"/>
  <c r="O38" i="11" s="1"/>
  <c r="P38" i="11" s="1"/>
  <c r="Q38" i="11" s="1"/>
  <c r="D39" i="11"/>
  <c r="E39" i="11" s="1"/>
  <c r="F39" i="11" s="1"/>
  <c r="G39" i="11" s="1"/>
  <c r="H39" i="11" s="1"/>
  <c r="I39" i="11" s="1"/>
  <c r="J39" i="11" s="1"/>
  <c r="K39" i="11" s="1"/>
  <c r="L39" i="11" s="1"/>
  <c r="M39" i="11" s="1"/>
  <c r="N39" i="11" s="1"/>
  <c r="O39" i="11" s="1"/>
  <c r="P39" i="11" s="1"/>
  <c r="Q39" i="11" s="1"/>
  <c r="D40" i="11"/>
  <c r="E40" i="11" s="1"/>
  <c r="F40" i="11" s="1"/>
  <c r="G40" i="11" s="1"/>
  <c r="H40" i="11" s="1"/>
  <c r="I40" i="11" s="1"/>
  <c r="J40" i="11" s="1"/>
  <c r="K40" i="11" s="1"/>
  <c r="L40" i="11" s="1"/>
  <c r="M40" i="11" s="1"/>
  <c r="N40" i="11" s="1"/>
  <c r="O40" i="11" s="1"/>
  <c r="P40" i="11" s="1"/>
  <c r="Q40" i="11" s="1"/>
  <c r="D41" i="11"/>
  <c r="E41" i="11" s="1"/>
  <c r="F41" i="11"/>
  <c r="G41" i="11" s="1"/>
  <c r="H41" i="11" s="1"/>
  <c r="I41" i="11" s="1"/>
  <c r="J41" i="11" s="1"/>
  <c r="K41" i="11" s="1"/>
  <c r="L41" i="11" s="1"/>
  <c r="M41" i="11" s="1"/>
  <c r="N41" i="11" s="1"/>
  <c r="O41" i="11" s="1"/>
  <c r="P41" i="11" s="1"/>
  <c r="Q41" i="11" s="1"/>
  <c r="D42" i="11"/>
  <c r="E42" i="11" s="1"/>
  <c r="F42" i="11" s="1"/>
  <c r="G42" i="11" s="1"/>
  <c r="H42" i="11" s="1"/>
  <c r="I42" i="11" s="1"/>
  <c r="J42" i="11" s="1"/>
  <c r="K42" i="11" s="1"/>
  <c r="L42" i="11" s="1"/>
  <c r="M42" i="11" s="1"/>
  <c r="N42" i="11" s="1"/>
  <c r="O42" i="11" s="1"/>
  <c r="P42" i="11" s="1"/>
  <c r="Q42" i="11" s="1"/>
  <c r="C18" i="11"/>
  <c r="C43" i="11"/>
  <c r="R43" i="11" s="1"/>
  <c r="B344" i="20" s="1"/>
  <c r="D37" i="11"/>
  <c r="E37" i="11" s="1"/>
  <c r="F37" i="11" s="1"/>
  <c r="G37" i="11" s="1"/>
  <c r="H37" i="11" s="1"/>
  <c r="I37" i="11" s="1"/>
  <c r="J37" i="11" s="1"/>
  <c r="K37" i="11" s="1"/>
  <c r="L37" i="11" s="1"/>
  <c r="M37" i="11" s="1"/>
  <c r="N37" i="11" s="1"/>
  <c r="O37" i="11" s="1"/>
  <c r="P37" i="11" s="1"/>
  <c r="Q37" i="11" s="1"/>
  <c r="D36" i="11"/>
  <c r="E36" i="11" s="1"/>
  <c r="F36" i="11" s="1"/>
  <c r="G36" i="11" s="1"/>
  <c r="H36" i="11" s="1"/>
  <c r="I36" i="11" s="1"/>
  <c r="J36" i="11" s="1"/>
  <c r="K36" i="11" s="1"/>
  <c r="L36" i="11" s="1"/>
  <c r="M36" i="11" s="1"/>
  <c r="N36" i="11" s="1"/>
  <c r="O36" i="11" s="1"/>
  <c r="P36" i="11" s="1"/>
  <c r="Q36" i="11" s="1"/>
  <c r="D35" i="11"/>
  <c r="E35" i="11" s="1"/>
  <c r="F35" i="11" s="1"/>
  <c r="G35" i="11" s="1"/>
  <c r="H35" i="11" s="1"/>
  <c r="I35" i="11" s="1"/>
  <c r="J35" i="11" s="1"/>
  <c r="K35" i="11" s="1"/>
  <c r="L35" i="11" s="1"/>
  <c r="M35" i="11" s="1"/>
  <c r="N35" i="11" s="1"/>
  <c r="O35" i="11" s="1"/>
  <c r="P35" i="11" s="1"/>
  <c r="Q35" i="11" s="1"/>
  <c r="D34" i="11"/>
  <c r="E34" i="11" s="1"/>
  <c r="F34" i="11"/>
  <c r="G34" i="11" s="1"/>
  <c r="H34" i="11" s="1"/>
  <c r="I34" i="11" s="1"/>
  <c r="J34" i="11" s="1"/>
  <c r="K34" i="11" s="1"/>
  <c r="L34" i="11" s="1"/>
  <c r="M34" i="11" s="1"/>
  <c r="N34" i="11" s="1"/>
  <c r="O34" i="11" s="1"/>
  <c r="P34" i="11" s="1"/>
  <c r="Q34" i="11" s="1"/>
  <c r="D27" i="11"/>
  <c r="E27" i="11" s="1"/>
  <c r="F27" i="11" s="1"/>
  <c r="G27" i="11" s="1"/>
  <c r="H27" i="11" s="1"/>
  <c r="I27" i="11" s="1"/>
  <c r="J27" i="11" s="1"/>
  <c r="K27" i="11" s="1"/>
  <c r="L27" i="11" s="1"/>
  <c r="M27" i="11" s="1"/>
  <c r="N27" i="11" s="1"/>
  <c r="O27" i="11" s="1"/>
  <c r="P27" i="11" s="1"/>
  <c r="Q27" i="11" s="1"/>
  <c r="D25" i="11"/>
  <c r="E25" i="11" s="1"/>
  <c r="F25" i="11" s="1"/>
  <c r="G25" i="11" s="1"/>
  <c r="H25" i="11" s="1"/>
  <c r="I25" i="11" s="1"/>
  <c r="J25" i="11" s="1"/>
  <c r="K25" i="11" s="1"/>
  <c r="L25" i="11" s="1"/>
  <c r="M25" i="11" s="1"/>
  <c r="N25" i="11" s="1"/>
  <c r="O25" i="11" s="1"/>
  <c r="P25" i="11" s="1"/>
  <c r="Q25" i="11" s="1"/>
  <c r="D24" i="11"/>
  <c r="E24" i="11" s="1"/>
  <c r="F24" i="11" s="1"/>
  <c r="G24" i="11" s="1"/>
  <c r="H24" i="11" s="1"/>
  <c r="I24" i="11" s="1"/>
  <c r="J24" i="11" s="1"/>
  <c r="K24" i="11" s="1"/>
  <c r="L24" i="11" s="1"/>
  <c r="M24" i="11" s="1"/>
  <c r="N24" i="11" s="1"/>
  <c r="O24" i="11" s="1"/>
  <c r="P24" i="11" s="1"/>
  <c r="Q24" i="11" s="1"/>
  <c r="D23" i="11"/>
  <c r="E23" i="11" s="1"/>
  <c r="F23" i="11"/>
  <c r="G23" i="11" s="1"/>
  <c r="H23" i="11" s="1"/>
  <c r="I23" i="11" s="1"/>
  <c r="J23" i="11" s="1"/>
  <c r="K23" i="11" s="1"/>
  <c r="L23" i="11" s="1"/>
  <c r="M23" i="11" s="1"/>
  <c r="N23" i="11" s="1"/>
  <c r="O23" i="11" s="1"/>
  <c r="P23" i="11" s="1"/>
  <c r="Q23" i="11" s="1"/>
  <c r="D22" i="11"/>
  <c r="E22" i="11" s="1"/>
  <c r="F22" i="11" s="1"/>
  <c r="G22" i="11" s="1"/>
  <c r="H22" i="11" s="1"/>
  <c r="I22" i="11" s="1"/>
  <c r="J22" i="11" s="1"/>
  <c r="K22" i="11" s="1"/>
  <c r="L22" i="11" s="1"/>
  <c r="M22" i="11" s="1"/>
  <c r="N22" i="11" s="1"/>
  <c r="O22" i="11" s="1"/>
  <c r="P22" i="11" s="1"/>
  <c r="Q22" i="11" s="1"/>
  <c r="D21" i="11"/>
  <c r="E21" i="11" s="1"/>
  <c r="F21" i="11" s="1"/>
  <c r="G21" i="11" s="1"/>
  <c r="H21" i="11" s="1"/>
  <c r="I21" i="11" s="1"/>
  <c r="J21" i="11" s="1"/>
  <c r="K21" i="11" s="1"/>
  <c r="L21" i="11" s="1"/>
  <c r="M21" i="11" s="1"/>
  <c r="N21" i="11" s="1"/>
  <c r="O21" i="11" s="1"/>
  <c r="P21" i="11" s="1"/>
  <c r="Q21" i="11" s="1"/>
  <c r="D20" i="11"/>
  <c r="R16" i="11"/>
  <c r="R15" i="11"/>
  <c r="D15" i="11"/>
  <c r="R17" i="11"/>
  <c r="B20" i="13"/>
  <c r="J20" i="9"/>
  <c r="K19" i="9"/>
  <c r="B108" i="20" s="1"/>
  <c r="K14" i="9"/>
  <c r="B86" i="20" s="1"/>
  <c r="K13" i="9"/>
  <c r="B75" i="20" s="1"/>
  <c r="K12" i="9"/>
  <c r="K11" i="9"/>
  <c r="K10" i="9"/>
  <c r="AJ10" i="9" s="1"/>
  <c r="K9" i="9"/>
  <c r="B64" i="20" s="1"/>
  <c r="K8" i="9"/>
  <c r="B20" i="20" s="1"/>
  <c r="K7" i="9"/>
  <c r="AJ7" i="9" s="1"/>
  <c r="K6" i="9"/>
  <c r="B152" i="20" s="1"/>
  <c r="K5" i="9"/>
  <c r="S35" i="10"/>
  <c r="R35" i="10"/>
  <c r="Q35" i="10"/>
  <c r="P35" i="10"/>
  <c r="O35" i="10"/>
  <c r="N35" i="10"/>
  <c r="M35" i="10"/>
  <c r="L35" i="10"/>
  <c r="K35" i="10"/>
  <c r="J35" i="10"/>
  <c r="I35" i="10"/>
  <c r="H35" i="10"/>
  <c r="G35" i="10"/>
  <c r="F35" i="10"/>
  <c r="B17" i="13"/>
  <c r="B16" i="13"/>
  <c r="B15" i="13"/>
  <c r="B21" i="13"/>
  <c r="T15" i="10"/>
  <c r="T14" i="10"/>
  <c r="C53" i="5"/>
  <c r="T48" i="10"/>
  <c r="T44" i="10"/>
  <c r="T41" i="10"/>
  <c r="T40" i="10"/>
  <c r="T38" i="10"/>
  <c r="B19" i="13"/>
  <c r="F12" i="10"/>
  <c r="G12" i="10" s="1"/>
  <c r="H12" i="10" s="1"/>
  <c r="I12" i="10" s="1"/>
  <c r="J12" i="10" s="1"/>
  <c r="K12" i="10" s="1"/>
  <c r="L12" i="10" s="1"/>
  <c r="M12" i="10" s="1"/>
  <c r="N12" i="10" s="1"/>
  <c r="O12" i="10" s="1"/>
  <c r="P12" i="10" s="1"/>
  <c r="Q12" i="10" s="1"/>
  <c r="R12" i="10" s="1"/>
  <c r="S12" i="10" s="1"/>
  <c r="F13" i="10"/>
  <c r="G13" i="10" s="1"/>
  <c r="H13" i="10" s="1"/>
  <c r="I13" i="10" s="1"/>
  <c r="J13" i="10" s="1"/>
  <c r="K13" i="10" s="1"/>
  <c r="L13" i="10" s="1"/>
  <c r="M13" i="10" s="1"/>
  <c r="N13" i="10" s="1"/>
  <c r="O13" i="10" s="1"/>
  <c r="P13" i="10" s="1"/>
  <c r="Q13" i="10" s="1"/>
  <c r="R13" i="10" s="1"/>
  <c r="S13" i="10" s="1"/>
  <c r="F23" i="10"/>
  <c r="G23" i="10" s="1"/>
  <c r="H23" i="10" s="1"/>
  <c r="I23" i="10" s="1"/>
  <c r="J23" i="10" s="1"/>
  <c r="K23" i="10" s="1"/>
  <c r="L23" i="10" s="1"/>
  <c r="M23" i="10" s="1"/>
  <c r="N23" i="10" s="1"/>
  <c r="O23" i="10" s="1"/>
  <c r="P23" i="10" s="1"/>
  <c r="Q23" i="10" s="1"/>
  <c r="R23" i="10" s="1"/>
  <c r="S23" i="10" s="1"/>
  <c r="F24" i="10"/>
  <c r="G24" i="10" s="1"/>
  <c r="H24" i="10" s="1"/>
  <c r="I24" i="10" s="1"/>
  <c r="J24" i="10" s="1"/>
  <c r="K24" i="10" s="1"/>
  <c r="L24" i="10" s="1"/>
  <c r="M24" i="10" s="1"/>
  <c r="N24" i="10" s="1"/>
  <c r="O24" i="10" s="1"/>
  <c r="P24" i="10" s="1"/>
  <c r="Q24" i="10" s="1"/>
  <c r="R24" i="10" s="1"/>
  <c r="S24" i="10" s="1"/>
  <c r="F25" i="10"/>
  <c r="G25" i="10" s="1"/>
  <c r="H25" i="10" s="1"/>
  <c r="I25" i="10" s="1"/>
  <c r="J25" i="10" s="1"/>
  <c r="K25" i="10" s="1"/>
  <c r="L25" i="10" s="1"/>
  <c r="M25" i="10" s="1"/>
  <c r="N25" i="10" s="1"/>
  <c r="O25" i="10" s="1"/>
  <c r="P25" i="10" s="1"/>
  <c r="Q25" i="10" s="1"/>
  <c r="R25" i="10" s="1"/>
  <c r="S25" i="10" s="1"/>
  <c r="F26" i="10"/>
  <c r="G26" i="10" s="1"/>
  <c r="H26" i="10" s="1"/>
  <c r="I26" i="10" s="1"/>
  <c r="J26" i="10" s="1"/>
  <c r="K26" i="10" s="1"/>
  <c r="L26" i="10" s="1"/>
  <c r="M26" i="10" s="1"/>
  <c r="N26" i="10" s="1"/>
  <c r="O26" i="10" s="1"/>
  <c r="P26" i="10" s="1"/>
  <c r="Q26" i="10" s="1"/>
  <c r="R26" i="10" s="1"/>
  <c r="S26" i="10" s="1"/>
  <c r="F27" i="10"/>
  <c r="G27" i="10" s="1"/>
  <c r="H27" i="10" s="1"/>
  <c r="I27" i="10" s="1"/>
  <c r="J27" i="10" s="1"/>
  <c r="K27" i="10" s="1"/>
  <c r="L27" i="10" s="1"/>
  <c r="M27" i="10" s="1"/>
  <c r="N27" i="10" s="1"/>
  <c r="O27" i="10" s="1"/>
  <c r="P27" i="10" s="1"/>
  <c r="Q27" i="10" s="1"/>
  <c r="R27" i="10" s="1"/>
  <c r="S27" i="10" s="1"/>
  <c r="F28" i="10"/>
  <c r="G28" i="10" s="1"/>
  <c r="H28" i="10" s="1"/>
  <c r="I28" i="10" s="1"/>
  <c r="J28" i="10" s="1"/>
  <c r="K28" i="10" s="1"/>
  <c r="L28" i="10" s="1"/>
  <c r="M28" i="10" s="1"/>
  <c r="N28" i="10" s="1"/>
  <c r="O28" i="10" s="1"/>
  <c r="P28" i="10" s="1"/>
  <c r="Q28" i="10" s="1"/>
  <c r="R28" i="10" s="1"/>
  <c r="S28" i="10" s="1"/>
  <c r="F29" i="10"/>
  <c r="G29" i="10" s="1"/>
  <c r="H29" i="10" s="1"/>
  <c r="I29" i="10" s="1"/>
  <c r="J29" i="10" s="1"/>
  <c r="K29" i="10" s="1"/>
  <c r="L29" i="10" s="1"/>
  <c r="M29" i="10" s="1"/>
  <c r="N29" i="10" s="1"/>
  <c r="O29" i="10" s="1"/>
  <c r="P29" i="10" s="1"/>
  <c r="Q29" i="10" s="1"/>
  <c r="R29" i="10" s="1"/>
  <c r="S29" i="10" s="1"/>
  <c r="F30" i="10"/>
  <c r="G30" i="10" s="1"/>
  <c r="H30" i="10" s="1"/>
  <c r="I30" i="10" s="1"/>
  <c r="J30" i="10" s="1"/>
  <c r="K30" i="10" s="1"/>
  <c r="L30" i="10" s="1"/>
  <c r="M30" i="10" s="1"/>
  <c r="N30" i="10" s="1"/>
  <c r="O30" i="10" s="1"/>
  <c r="P30" i="10" s="1"/>
  <c r="Q30" i="10" s="1"/>
  <c r="R30" i="10" s="1"/>
  <c r="S30" i="10" s="1"/>
  <c r="F31" i="10"/>
  <c r="G31" i="10" s="1"/>
  <c r="H31" i="10" s="1"/>
  <c r="I31" i="10" s="1"/>
  <c r="J31" i="10" s="1"/>
  <c r="K31" i="10" s="1"/>
  <c r="L31" i="10" s="1"/>
  <c r="M31" i="10" s="1"/>
  <c r="N31" i="10" s="1"/>
  <c r="O31" i="10" s="1"/>
  <c r="P31" i="10" s="1"/>
  <c r="Q31" i="10" s="1"/>
  <c r="R31" i="10" s="1"/>
  <c r="S31" i="10" s="1"/>
  <c r="F32" i="10"/>
  <c r="G32" i="10" s="1"/>
  <c r="H32" i="10" s="1"/>
  <c r="I32" i="10" s="1"/>
  <c r="J32" i="10" s="1"/>
  <c r="K32" i="10" s="1"/>
  <c r="L32" i="10" s="1"/>
  <c r="M32" i="10" s="1"/>
  <c r="N32" i="10" s="1"/>
  <c r="O32" i="10" s="1"/>
  <c r="P32" i="10" s="1"/>
  <c r="Q32" i="10" s="1"/>
  <c r="R32" i="10" s="1"/>
  <c r="S32" i="10" s="1"/>
  <c r="F33" i="10"/>
  <c r="G33" i="10" s="1"/>
  <c r="H33" i="10" s="1"/>
  <c r="I33" i="10" s="1"/>
  <c r="J33" i="10" s="1"/>
  <c r="K33" i="10" s="1"/>
  <c r="L33" i="10" s="1"/>
  <c r="M33" i="10" s="1"/>
  <c r="N33" i="10" s="1"/>
  <c r="O33" i="10" s="1"/>
  <c r="P33" i="10" s="1"/>
  <c r="Q33" i="10" s="1"/>
  <c r="R33" i="10" s="1"/>
  <c r="S33" i="10" s="1"/>
  <c r="F34" i="10"/>
  <c r="G34" i="10" s="1"/>
  <c r="H34" i="10" s="1"/>
  <c r="I34" i="10" s="1"/>
  <c r="J34" i="10" s="1"/>
  <c r="K34" i="10" s="1"/>
  <c r="L34" i="10" s="1"/>
  <c r="M34" i="10" s="1"/>
  <c r="N34" i="10" s="1"/>
  <c r="O34" i="10" s="1"/>
  <c r="P34" i="10" s="1"/>
  <c r="Q34" i="10" s="1"/>
  <c r="R34" i="10" s="1"/>
  <c r="S34" i="10" s="1"/>
  <c r="F36" i="10"/>
  <c r="G36" i="10" s="1"/>
  <c r="H36" i="10" s="1"/>
  <c r="I36" i="10" s="1"/>
  <c r="J36" i="10" s="1"/>
  <c r="K36" i="10" s="1"/>
  <c r="L36" i="10" s="1"/>
  <c r="M36" i="10" s="1"/>
  <c r="N36" i="10" s="1"/>
  <c r="O36" i="10" s="1"/>
  <c r="P36" i="10" s="1"/>
  <c r="Q36" i="10" s="1"/>
  <c r="R36" i="10" s="1"/>
  <c r="S36" i="10" s="1"/>
  <c r="F37" i="10"/>
  <c r="G37" i="10" s="1"/>
  <c r="H37" i="10" s="1"/>
  <c r="I37" i="10" s="1"/>
  <c r="J37" i="10" s="1"/>
  <c r="K37" i="10" s="1"/>
  <c r="L37" i="10" s="1"/>
  <c r="M37" i="10" s="1"/>
  <c r="N37" i="10" s="1"/>
  <c r="O37" i="10" s="1"/>
  <c r="P37" i="10" s="1"/>
  <c r="Q37" i="10" s="1"/>
  <c r="R37" i="10" s="1"/>
  <c r="S37" i="10" s="1"/>
  <c r="F38" i="10"/>
  <c r="G38" i="10" s="1"/>
  <c r="H38" i="10" s="1"/>
  <c r="I38" i="10" s="1"/>
  <c r="J38" i="10" s="1"/>
  <c r="K38" i="10" s="1"/>
  <c r="L38" i="10" s="1"/>
  <c r="M38" i="10" s="1"/>
  <c r="N38" i="10" s="1"/>
  <c r="O38" i="10" s="1"/>
  <c r="P38" i="10" s="1"/>
  <c r="Q38" i="10" s="1"/>
  <c r="R38" i="10" s="1"/>
  <c r="S38" i="10" s="1"/>
  <c r="F39" i="10"/>
  <c r="G39" i="10" s="1"/>
  <c r="H39" i="10" s="1"/>
  <c r="I39" i="10" s="1"/>
  <c r="J39" i="10" s="1"/>
  <c r="K39" i="10" s="1"/>
  <c r="L39" i="10" s="1"/>
  <c r="M39" i="10" s="1"/>
  <c r="N39" i="10" s="1"/>
  <c r="O39" i="10" s="1"/>
  <c r="P39" i="10" s="1"/>
  <c r="Q39" i="10" s="1"/>
  <c r="R39" i="10" s="1"/>
  <c r="S39" i="10" s="1"/>
  <c r="F41" i="10"/>
  <c r="G41" i="10" s="1"/>
  <c r="H41" i="10" s="1"/>
  <c r="I41" i="10" s="1"/>
  <c r="J41" i="10" s="1"/>
  <c r="K41" i="10" s="1"/>
  <c r="L41" i="10" s="1"/>
  <c r="M41" i="10" s="1"/>
  <c r="N41" i="10" s="1"/>
  <c r="O41" i="10" s="1"/>
  <c r="P41" i="10" s="1"/>
  <c r="Q41" i="10" s="1"/>
  <c r="R41" i="10" s="1"/>
  <c r="S41" i="10" s="1"/>
  <c r="F42" i="10"/>
  <c r="G42" i="10" s="1"/>
  <c r="H42" i="10" s="1"/>
  <c r="I42" i="10" s="1"/>
  <c r="J42" i="10" s="1"/>
  <c r="K42" i="10" s="1"/>
  <c r="L42" i="10" s="1"/>
  <c r="M42" i="10" s="1"/>
  <c r="N42" i="10" s="1"/>
  <c r="O42" i="10" s="1"/>
  <c r="P42" i="10" s="1"/>
  <c r="Q42" i="10" s="1"/>
  <c r="R42" i="10" s="1"/>
  <c r="S42" i="10" s="1"/>
  <c r="F44" i="10"/>
  <c r="G44" i="10" s="1"/>
  <c r="H44" i="10" s="1"/>
  <c r="I44" i="10" s="1"/>
  <c r="J44" i="10" s="1"/>
  <c r="K44" i="10" s="1"/>
  <c r="L44" i="10" s="1"/>
  <c r="M44" i="10" s="1"/>
  <c r="N44" i="10" s="1"/>
  <c r="O44" i="10" s="1"/>
  <c r="P44" i="10" s="1"/>
  <c r="Q44" i="10" s="1"/>
  <c r="R44" i="10" s="1"/>
  <c r="S44" i="10" s="1"/>
  <c r="F45" i="10"/>
  <c r="G45" i="10" s="1"/>
  <c r="H45" i="10" s="1"/>
  <c r="I45" i="10" s="1"/>
  <c r="J45" i="10" s="1"/>
  <c r="K45" i="10" s="1"/>
  <c r="L45" i="10" s="1"/>
  <c r="M45" i="10" s="1"/>
  <c r="N45" i="10" s="1"/>
  <c r="O45" i="10" s="1"/>
  <c r="P45" i="10" s="1"/>
  <c r="Q45" i="10" s="1"/>
  <c r="R45" i="10" s="1"/>
  <c r="S45" i="10" s="1"/>
  <c r="C14" i="5"/>
  <c r="C69" i="5"/>
  <c r="J72" i="5"/>
  <c r="B315" i="20" s="1"/>
  <c r="C94" i="5"/>
  <c r="C102" i="5"/>
  <c r="B7" i="13"/>
  <c r="E46" i="10"/>
  <c r="T42" i="10"/>
  <c r="D20" i="9"/>
  <c r="N5" i="9"/>
  <c r="O5" i="9" s="1"/>
  <c r="L5" i="9" s="1"/>
  <c r="B65" i="20"/>
  <c r="B98" i="20"/>
  <c r="AO18" i="9"/>
  <c r="AO11" i="9"/>
  <c r="B43" i="20"/>
  <c r="F30" i="11"/>
  <c r="G30" i="11" s="1"/>
  <c r="H30" i="11" s="1"/>
  <c r="I30" i="11" s="1"/>
  <c r="J30" i="11" s="1"/>
  <c r="K30" i="11" s="1"/>
  <c r="L30" i="11" s="1"/>
  <c r="M30" i="11" s="1"/>
  <c r="N30" i="11" s="1"/>
  <c r="O30" i="11" s="1"/>
  <c r="P30" i="11" s="1"/>
  <c r="Q30" i="11" s="1"/>
  <c r="AO13" i="9"/>
  <c r="B131" i="20"/>
  <c r="AO15" i="9"/>
  <c r="B333" i="20"/>
  <c r="AO6" i="9"/>
  <c r="B153" i="20"/>
  <c r="AO8" i="9"/>
  <c r="B21" i="20"/>
  <c r="AO14" i="9"/>
  <c r="D111" i="5" l="1"/>
  <c r="E111" i="5" s="1"/>
  <c r="H117" i="5"/>
  <c r="B8" i="13"/>
  <c r="E8" i="13" s="1"/>
  <c r="H8" i="13" s="1"/>
  <c r="B86" i="25"/>
  <c r="D106" i="5"/>
  <c r="E106" i="5" s="1"/>
  <c r="E15" i="13"/>
  <c r="H15" i="13" s="1"/>
  <c r="B61" i="25"/>
  <c r="B62" i="25"/>
  <c r="B60" i="25"/>
  <c r="B57" i="25"/>
  <c r="B59" i="25"/>
  <c r="B58" i="25"/>
  <c r="B56" i="25"/>
  <c r="D102" i="5"/>
  <c r="E102" i="5" s="1"/>
  <c r="B53" i="25"/>
  <c r="B51" i="25"/>
  <c r="B50" i="25"/>
  <c r="B54" i="25"/>
  <c r="B55" i="25"/>
  <c r="B49" i="25"/>
  <c r="B52" i="25"/>
  <c r="B48" i="25"/>
  <c r="B47" i="25"/>
  <c r="B42" i="25"/>
  <c r="B45" i="25"/>
  <c r="B44" i="25"/>
  <c r="B43" i="25"/>
  <c r="B46" i="25"/>
  <c r="B32" i="25"/>
  <c r="B35" i="25"/>
  <c r="B34" i="25"/>
  <c r="B33" i="25"/>
  <c r="B36" i="25"/>
  <c r="B39" i="25"/>
  <c r="B37" i="25"/>
  <c r="B31" i="25"/>
  <c r="B40" i="25"/>
  <c r="B38" i="25"/>
  <c r="B30" i="25"/>
  <c r="B24" i="25"/>
  <c r="B29" i="25"/>
  <c r="B27" i="25"/>
  <c r="B28" i="25"/>
  <c r="B25" i="25"/>
  <c r="B26" i="25"/>
  <c r="B23" i="25"/>
  <c r="B22" i="25"/>
  <c r="B21" i="25"/>
  <c r="B20" i="25"/>
  <c r="B17" i="25"/>
  <c r="B18" i="25"/>
  <c r="B19" i="25"/>
  <c r="B14" i="25"/>
  <c r="B15" i="25"/>
  <c r="B12" i="25"/>
  <c r="B16" i="25"/>
  <c r="B13" i="25"/>
  <c r="B11" i="25"/>
  <c r="B10" i="25"/>
  <c r="B8" i="25"/>
  <c r="D14" i="5"/>
  <c r="E14" i="5" s="1"/>
  <c r="B9" i="25"/>
  <c r="A4" i="2"/>
  <c r="B6" i="25"/>
  <c r="B53" i="20"/>
  <c r="AO12" i="9"/>
  <c r="G49" i="10"/>
  <c r="H49" i="10" s="1"/>
  <c r="I49" i="10" s="1"/>
  <c r="J49" i="10" s="1"/>
  <c r="K49" i="10" s="1"/>
  <c r="L49" i="10" s="1"/>
  <c r="M49" i="10" s="1"/>
  <c r="N49" i="10" s="1"/>
  <c r="O49" i="10" s="1"/>
  <c r="P49" i="10" s="1"/>
  <c r="Q49" i="10" s="1"/>
  <c r="R49" i="10" s="1"/>
  <c r="S49" i="10" s="1"/>
  <c r="C44" i="11"/>
  <c r="C45" i="11" s="1"/>
  <c r="AL19" i="9"/>
  <c r="B375" i="20"/>
  <c r="B356" i="20"/>
  <c r="D43" i="11"/>
  <c r="E20" i="11"/>
  <c r="E15" i="11"/>
  <c r="E18" i="11" s="1"/>
  <c r="D18" i="11"/>
  <c r="E20" i="13"/>
  <c r="H20" i="13" s="1"/>
  <c r="B40" i="9"/>
  <c r="J14" i="5"/>
  <c r="B332" i="20" s="1"/>
  <c r="H21" i="9"/>
  <c r="B41" i="25"/>
  <c r="H81" i="5"/>
  <c r="B410" i="20"/>
  <c r="C119" i="5"/>
  <c r="B21" i="9" s="1"/>
  <c r="E26" i="13"/>
  <c r="B480" i="20" s="1"/>
  <c r="E16" i="13"/>
  <c r="H16" i="13" s="1"/>
  <c r="E17" i="13"/>
  <c r="H50" i="10"/>
  <c r="I50" i="10" s="1"/>
  <c r="J50" i="10" s="1"/>
  <c r="K50" i="10" s="1"/>
  <c r="L50" i="10" s="1"/>
  <c r="M50" i="10" s="1"/>
  <c r="N50" i="10" s="1"/>
  <c r="O50" i="10" s="1"/>
  <c r="P50" i="10" s="1"/>
  <c r="Q50" i="10" s="1"/>
  <c r="R50" i="10" s="1"/>
  <c r="S50" i="10" s="1"/>
  <c r="Y10" i="9"/>
  <c r="AC10" i="9"/>
  <c r="AG10" i="9"/>
  <c r="AK10" i="9"/>
  <c r="Z10" i="9"/>
  <c r="AD10" i="9"/>
  <c r="AH10" i="9"/>
  <c r="W10" i="9"/>
  <c r="AA10" i="9"/>
  <c r="AE10" i="9"/>
  <c r="AI10" i="9"/>
  <c r="B9" i="20"/>
  <c r="AO10" i="9"/>
  <c r="B42" i="20"/>
  <c r="X10" i="9"/>
  <c r="AB10" i="9"/>
  <c r="AF10" i="9"/>
  <c r="B31" i="20"/>
  <c r="E19" i="13"/>
  <c r="H19" i="13" s="1"/>
  <c r="W7" i="9"/>
  <c r="AA7" i="9"/>
  <c r="AE7" i="9"/>
  <c r="AI7" i="9"/>
  <c r="Y7" i="9"/>
  <c r="AC7" i="9"/>
  <c r="AG7" i="9"/>
  <c r="AK7" i="9"/>
  <c r="Z7" i="9"/>
  <c r="AD7" i="9"/>
  <c r="AH7" i="9"/>
  <c r="K20" i="9"/>
  <c r="E21" i="13" s="1"/>
  <c r="H21" i="13" s="1"/>
  <c r="X7" i="9"/>
  <c r="AB7" i="9"/>
  <c r="AF7" i="9"/>
  <c r="D46" i="10"/>
  <c r="B87" i="25" s="1"/>
  <c r="B327" i="20"/>
  <c r="B452" i="20"/>
  <c r="E51" i="10"/>
  <c r="B404" i="20"/>
  <c r="E27" i="13"/>
  <c r="B476" i="20" s="1"/>
  <c r="AJ20" i="9"/>
  <c r="R55" i="10" s="1"/>
  <c r="AO7" i="9"/>
  <c r="H53" i="5"/>
  <c r="H14" i="5"/>
  <c r="B355" i="20"/>
  <c r="J29" i="5"/>
  <c r="J35" i="5"/>
  <c r="A28" i="5"/>
  <c r="J85" i="5"/>
  <c r="B317" i="20" s="1"/>
  <c r="J33" i="5"/>
  <c r="J34" i="5"/>
  <c r="B310" i="20"/>
  <c r="B408" i="20"/>
  <c r="B316" i="20"/>
  <c r="B312" i="20"/>
  <c r="E18" i="13"/>
  <c r="B468" i="20" s="1"/>
  <c r="J109" i="5"/>
  <c r="H18" i="13" l="1"/>
  <c r="D108" i="5"/>
  <c r="E108" i="5" s="1"/>
  <c r="D94" i="5"/>
  <c r="E94" i="5" s="1"/>
  <c r="D117" i="5"/>
  <c r="E117" i="5" s="1"/>
  <c r="B23" i="13"/>
  <c r="D81" i="5"/>
  <c r="E81" i="5" s="1"/>
  <c r="D27" i="5"/>
  <c r="E27" i="5" s="1"/>
  <c r="D42" i="5"/>
  <c r="E42" i="5" s="1"/>
  <c r="D53" i="5"/>
  <c r="E53" i="5" s="1"/>
  <c r="D69" i="5"/>
  <c r="E69" i="5" s="1"/>
  <c r="E9" i="13"/>
  <c r="F9" i="13"/>
  <c r="D44" i="11"/>
  <c r="D45" i="11" s="1"/>
  <c r="B349" i="20"/>
  <c r="F15" i="11"/>
  <c r="G15" i="11" s="1"/>
  <c r="F20" i="11"/>
  <c r="E43" i="11"/>
  <c r="E44" i="11" s="1"/>
  <c r="B27" i="13"/>
  <c r="H27" i="13" s="1"/>
  <c r="B26" i="13"/>
  <c r="H26" i="13" s="1"/>
  <c r="C17" i="13"/>
  <c r="H17" i="13" s="1"/>
  <c r="J123" i="5"/>
  <c r="B331" i="20" s="1"/>
  <c r="AI20" i="9"/>
  <c r="Q55" i="10" s="1"/>
  <c r="W20" i="9"/>
  <c r="E55" i="10" s="1"/>
  <c r="V48" i="10"/>
  <c r="B416" i="20" s="1"/>
  <c r="AD20" i="9"/>
  <c r="L55" i="10" s="1"/>
  <c r="AC20" i="9"/>
  <c r="K55" i="10" s="1"/>
  <c r="X20" i="9"/>
  <c r="F55" i="10" s="1"/>
  <c r="B435" i="20"/>
  <c r="AO19" i="9"/>
  <c r="AH20" i="9"/>
  <c r="P55" i="10" s="1"/>
  <c r="AG20" i="9"/>
  <c r="O55" i="10" s="1"/>
  <c r="Z20" i="9"/>
  <c r="H55" i="10" s="1"/>
  <c r="Y20" i="9"/>
  <c r="G55" i="10" s="1"/>
  <c r="K15" i="13"/>
  <c r="B338" i="20" s="1"/>
  <c r="B13" i="13"/>
  <c r="E13" i="13" s="1" a="1"/>
  <c r="E13" i="13" s="1"/>
  <c r="B343" i="20"/>
  <c r="D49" i="10"/>
  <c r="D24" i="10"/>
  <c r="D28" i="10"/>
  <c r="D34" i="10"/>
  <c r="D38" i="10"/>
  <c r="D43" i="10"/>
  <c r="D32" i="10"/>
  <c r="D33" i="10"/>
  <c r="D37" i="10"/>
  <c r="D29" i="10"/>
  <c r="D25" i="10"/>
  <c r="D30" i="10"/>
  <c r="D35" i="10"/>
  <c r="D39" i="10"/>
  <c r="D44" i="10"/>
  <c r="D23" i="10"/>
  <c r="D22" i="10"/>
  <c r="D26" i="10"/>
  <c r="D31" i="10"/>
  <c r="D36" i="10"/>
  <c r="D41" i="10"/>
  <c r="D45" i="10"/>
  <c r="D27" i="10"/>
  <c r="D42" i="10"/>
  <c r="AK20" i="9"/>
  <c r="S55" i="10" s="1"/>
  <c r="AF20" i="9"/>
  <c r="N55" i="10" s="1"/>
  <c r="AE20" i="9"/>
  <c r="M55" i="10" s="1"/>
  <c r="AA20" i="9"/>
  <c r="I55" i="10" s="1"/>
  <c r="AB20" i="9"/>
  <c r="J55" i="10" s="1"/>
  <c r="F11" i="10"/>
  <c r="F18" i="10" s="1"/>
  <c r="B347" i="20"/>
  <c r="B380" i="20"/>
  <c r="B471" i="20"/>
  <c r="V12" i="10"/>
  <c r="B318" i="20" s="1"/>
  <c r="E18" i="10"/>
  <c r="C22" i="10" s="1"/>
  <c r="E17" i="10"/>
  <c r="T17" i="10" s="1"/>
  <c r="K16" i="13"/>
  <c r="B454" i="20" s="1"/>
  <c r="B9" i="13"/>
  <c r="V47" i="10"/>
  <c r="B438" i="20"/>
  <c r="B340" i="20"/>
  <c r="B437" i="20"/>
  <c r="B339" i="20"/>
  <c r="B439" i="20"/>
  <c r="B341" i="20"/>
  <c r="J124" i="5"/>
  <c r="B335" i="20" s="1"/>
  <c r="H42" i="5"/>
  <c r="H69" i="5"/>
  <c r="H102" i="5"/>
  <c r="H108" i="5"/>
  <c r="H94" i="5"/>
  <c r="H27" i="5"/>
  <c r="B376" i="20"/>
  <c r="B357" i="20"/>
  <c r="B361" i="20"/>
  <c r="B353" i="20"/>
  <c r="B377" i="20"/>
  <c r="B354" i="20"/>
  <c r="J27" i="5"/>
  <c r="B311" i="20" s="1"/>
  <c r="J108" i="5"/>
  <c r="F18" i="11" l="1"/>
  <c r="D121" i="5"/>
  <c r="B384" i="20"/>
  <c r="H9" i="13"/>
  <c r="E45" i="11"/>
  <c r="B421" i="20"/>
  <c r="AP19" i="9"/>
  <c r="B423" i="20" s="1"/>
  <c r="B321" i="20"/>
  <c r="G20" i="11"/>
  <c r="F43" i="11"/>
  <c r="H119" i="5"/>
  <c r="W21" i="9"/>
  <c r="W22" i="9" s="1"/>
  <c r="B424" i="20" s="1"/>
  <c r="G11" i="10"/>
  <c r="G18" i="10" s="1"/>
  <c r="G22" i="10" s="1"/>
  <c r="G46" i="10" s="1"/>
  <c r="G51" i="10" s="1"/>
  <c r="B432" i="20"/>
  <c r="F17" i="10"/>
  <c r="F19" i="10" s="1"/>
  <c r="E7" i="13"/>
  <c r="B345" i="20"/>
  <c r="F22" i="10"/>
  <c r="F46" i="10" s="1"/>
  <c r="F51" i="10" s="1"/>
  <c r="E19" i="10"/>
  <c r="K10" i="13"/>
  <c r="B470" i="20" s="1"/>
  <c r="H11" i="10"/>
  <c r="G17" i="10"/>
  <c r="A76" i="10"/>
  <c r="B381" i="20"/>
  <c r="B24" i="13"/>
  <c r="E23" i="13"/>
  <c r="G18" i="11"/>
  <c r="H15" i="11"/>
  <c r="F44" i="11" l="1"/>
  <c r="F45" i="11" s="1"/>
  <c r="H20" i="11"/>
  <c r="G43" i="11"/>
  <c r="G44" i="11" s="1"/>
  <c r="L7" i="13"/>
  <c r="B447" i="20" s="1"/>
  <c r="H7" i="13"/>
  <c r="G19" i="10"/>
  <c r="G52" i="10" s="1"/>
  <c r="F52" i="10"/>
  <c r="B319" i="20"/>
  <c r="E52" i="10"/>
  <c r="E64" i="10" s="1"/>
  <c r="H23" i="13"/>
  <c r="I11" i="10"/>
  <c r="H18" i="10"/>
  <c r="H22" i="10" s="1"/>
  <c r="H46" i="10" s="1"/>
  <c r="H51" i="10" s="1"/>
  <c r="H17" i="10"/>
  <c r="I15" i="11"/>
  <c r="H18" i="11"/>
  <c r="G57" i="10" l="1"/>
  <c r="G64" i="10"/>
  <c r="G65" i="10" s="1"/>
  <c r="F57" i="10"/>
  <c r="F64" i="10"/>
  <c r="F65" i="10" s="1"/>
  <c r="G45" i="11"/>
  <c r="H43" i="11"/>
  <c r="H44" i="11" s="1"/>
  <c r="I20" i="11"/>
  <c r="B382" i="20"/>
  <c r="E57" i="10"/>
  <c r="E58" i="10" s="1"/>
  <c r="B320" i="20"/>
  <c r="J121" i="5"/>
  <c r="B330" i="20" s="1"/>
  <c r="E123" i="5"/>
  <c r="E24" i="13" s="1"/>
  <c r="B402" i="20"/>
  <c r="B467" i="20"/>
  <c r="H19" i="10"/>
  <c r="H52" i="10" s="1"/>
  <c r="J11" i="10"/>
  <c r="I17" i="10"/>
  <c r="I18" i="10"/>
  <c r="I22" i="10" s="1"/>
  <c r="I46" i="10" s="1"/>
  <c r="I51" i="10" s="1"/>
  <c r="J15" i="11"/>
  <c r="I18" i="11"/>
  <c r="F58" i="10" l="1"/>
  <c r="G58" i="10" s="1"/>
  <c r="H57" i="10"/>
  <c r="H64" i="10"/>
  <c r="H65" i="10" s="1"/>
  <c r="H45" i="11"/>
  <c r="I43" i="11"/>
  <c r="I44" i="11" s="1"/>
  <c r="J20" i="11"/>
  <c r="E65" i="10"/>
  <c r="E61" i="10"/>
  <c r="E66" i="10"/>
  <c r="F66" i="10" s="1"/>
  <c r="G66" i="10" s="1"/>
  <c r="B322" i="20"/>
  <c r="H24" i="13"/>
  <c r="I19" i="10"/>
  <c r="I52" i="10" s="1"/>
  <c r="K11" i="10"/>
  <c r="J18" i="10"/>
  <c r="J22" i="10" s="1"/>
  <c r="J46" i="10" s="1"/>
  <c r="J51" i="10" s="1"/>
  <c r="J17" i="10"/>
  <c r="K15" i="11"/>
  <c r="J18" i="11"/>
  <c r="H58" i="10" l="1"/>
  <c r="H66" i="10"/>
  <c r="I57" i="10"/>
  <c r="I64" i="10"/>
  <c r="I45" i="11"/>
  <c r="K20" i="11"/>
  <c r="J43" i="11"/>
  <c r="J44" i="11" s="1"/>
  <c r="F61" i="10"/>
  <c r="V57" i="10"/>
  <c r="B383" i="20" s="1"/>
  <c r="B342" i="20"/>
  <c r="J19" i="10"/>
  <c r="J52" i="10" s="1"/>
  <c r="L11" i="10"/>
  <c r="K17" i="10"/>
  <c r="K18" i="10"/>
  <c r="K22" i="10" s="1"/>
  <c r="K46" i="10" s="1"/>
  <c r="K51" i="10" s="1"/>
  <c r="K18" i="11"/>
  <c r="L15" i="11"/>
  <c r="I58" i="10" l="1"/>
  <c r="J57" i="10"/>
  <c r="J64" i="10"/>
  <c r="I66" i="10"/>
  <c r="J45" i="11"/>
  <c r="K43" i="11"/>
  <c r="K44" i="11" s="1"/>
  <c r="L20" i="11"/>
  <c r="G61" i="10"/>
  <c r="I65" i="10"/>
  <c r="E67" i="10"/>
  <c r="V62" i="10"/>
  <c r="B412" i="20" s="1"/>
  <c r="B325" i="20"/>
  <c r="K19" i="10"/>
  <c r="K52" i="10" s="1"/>
  <c r="M11" i="10"/>
  <c r="L17" i="10"/>
  <c r="L18" i="10"/>
  <c r="L22" i="10" s="1"/>
  <c r="L46" i="10" s="1"/>
  <c r="L51" i="10" s="1"/>
  <c r="L18" i="11"/>
  <c r="M15" i="11"/>
  <c r="J58" i="10" l="1"/>
  <c r="J65" i="10"/>
  <c r="J66" i="10"/>
  <c r="K57" i="10"/>
  <c r="K64" i="10"/>
  <c r="K65" i="10" s="1"/>
  <c r="K45" i="11"/>
  <c r="M20" i="11"/>
  <c r="L43" i="11"/>
  <c r="L44" i="11" s="1"/>
  <c r="F67" i="10"/>
  <c r="G67" i="10" s="1"/>
  <c r="H61" i="10"/>
  <c r="L19" i="10"/>
  <c r="L52" i="10" s="1"/>
  <c r="N11" i="10"/>
  <c r="M18" i="10"/>
  <c r="M22" i="10" s="1"/>
  <c r="M46" i="10" s="1"/>
  <c r="M51" i="10" s="1"/>
  <c r="M17" i="10"/>
  <c r="M18" i="11"/>
  <c r="N15" i="11"/>
  <c r="K58" i="10" l="1"/>
  <c r="K66" i="10"/>
  <c r="L57" i="10"/>
  <c r="L64" i="10"/>
  <c r="L65" i="10" s="1"/>
  <c r="L45" i="11"/>
  <c r="N20" i="11"/>
  <c r="M43" i="11"/>
  <c r="M44" i="11" s="1"/>
  <c r="H67" i="10"/>
  <c r="I61" i="10"/>
  <c r="M19" i="10"/>
  <c r="M52" i="10" s="1"/>
  <c r="O11" i="10"/>
  <c r="N17" i="10"/>
  <c r="N18" i="10"/>
  <c r="N22" i="10" s="1"/>
  <c r="N46" i="10" s="1"/>
  <c r="N51" i="10" s="1"/>
  <c r="O15" i="11"/>
  <c r="N18" i="11"/>
  <c r="L58" i="10" l="1"/>
  <c r="L66" i="10"/>
  <c r="M57" i="10"/>
  <c r="M64" i="10"/>
  <c r="M65" i="10" s="1"/>
  <c r="M45" i="11"/>
  <c r="O20" i="11"/>
  <c r="N43" i="11"/>
  <c r="N44" i="11" s="1"/>
  <c r="I67" i="10"/>
  <c r="J61" i="10"/>
  <c r="N19" i="10"/>
  <c r="N52" i="10" s="1"/>
  <c r="P11" i="10"/>
  <c r="O17" i="10"/>
  <c r="O18" i="10"/>
  <c r="O22" i="10" s="1"/>
  <c r="O46" i="10" s="1"/>
  <c r="O51" i="10" s="1"/>
  <c r="O18" i="11"/>
  <c r="P15" i="11"/>
  <c r="M58" i="10" l="1"/>
  <c r="M66" i="10"/>
  <c r="N57" i="10"/>
  <c r="N64" i="10"/>
  <c r="N65" i="10" s="1"/>
  <c r="N45" i="11"/>
  <c r="O43" i="11"/>
  <c r="O44" i="11" s="1"/>
  <c r="P20" i="11"/>
  <c r="J67" i="10"/>
  <c r="K61" i="10"/>
  <c r="O19" i="10"/>
  <c r="O52" i="10" s="1"/>
  <c r="Q11" i="10"/>
  <c r="P18" i="10"/>
  <c r="P22" i="10" s="1"/>
  <c r="P46" i="10" s="1"/>
  <c r="P51" i="10" s="1"/>
  <c r="P17" i="10"/>
  <c r="P18" i="11"/>
  <c r="Q15" i="11"/>
  <c r="Q18" i="11" s="1"/>
  <c r="N58" i="10" l="1"/>
  <c r="N66" i="10"/>
  <c r="O57" i="10"/>
  <c r="O64" i="10"/>
  <c r="O65" i="10" s="1"/>
  <c r="O45" i="11"/>
  <c r="Q20" i="11"/>
  <c r="Q43" i="11" s="1"/>
  <c r="Q44" i="11" s="1"/>
  <c r="P43" i="11"/>
  <c r="P44" i="11" s="1"/>
  <c r="K67" i="10"/>
  <c r="L61" i="10"/>
  <c r="P19" i="10"/>
  <c r="P52" i="10" s="1"/>
  <c r="R11" i="10"/>
  <c r="Q18" i="10"/>
  <c r="Q22" i="10" s="1"/>
  <c r="Q46" i="10" s="1"/>
  <c r="Q51" i="10" s="1"/>
  <c r="Q17" i="10"/>
  <c r="O58" i="10" l="1"/>
  <c r="O66" i="10"/>
  <c r="P57" i="10"/>
  <c r="P64" i="10"/>
  <c r="P65" i="10" s="1"/>
  <c r="P45" i="11"/>
  <c r="Q45" i="11" s="1"/>
  <c r="L67" i="10"/>
  <c r="M61" i="10"/>
  <c r="Q19" i="10"/>
  <c r="Q52" i="10" s="1"/>
  <c r="S11" i="10"/>
  <c r="R17" i="10"/>
  <c r="R18" i="10"/>
  <c r="R22" i="10" s="1"/>
  <c r="R46" i="10" s="1"/>
  <c r="R51" i="10" s="1"/>
  <c r="P58" i="10" l="1"/>
  <c r="P66" i="10"/>
  <c r="Q57" i="10"/>
  <c r="Q58" i="10" s="1"/>
  <c r="Q64" i="10"/>
  <c r="Q65" i="10" s="1"/>
  <c r="M67" i="10"/>
  <c r="N61" i="10"/>
  <c r="R19" i="10"/>
  <c r="R52" i="10" s="1"/>
  <c r="S18" i="10"/>
  <c r="S22" i="10" s="1"/>
  <c r="S46" i="10" s="1"/>
  <c r="S51" i="10" s="1"/>
  <c r="S17" i="10"/>
  <c r="Q66" i="10" l="1"/>
  <c r="R57" i="10"/>
  <c r="R58" i="10" s="1"/>
  <c r="R64" i="10"/>
  <c r="R65" i="10" s="1"/>
  <c r="N67" i="10"/>
  <c r="O61" i="10"/>
  <c r="S19" i="10"/>
  <c r="S52" i="10" s="1"/>
  <c r="R66" i="10" l="1"/>
  <c r="S57" i="10"/>
  <c r="S58" i="10" s="1"/>
  <c r="S64" i="10"/>
  <c r="E10" i="13" s="1"/>
  <c r="H10" i="13" s="1"/>
  <c r="O67" i="10"/>
  <c r="P61" i="10"/>
  <c r="P67" i="10" l="1"/>
  <c r="Q61" i="10"/>
  <c r="S66" i="10"/>
  <c r="S65" i="10"/>
  <c r="E11" i="13"/>
  <c r="H11" i="13" s="1"/>
  <c r="Q67" i="10" l="1"/>
  <c r="R61" i="10"/>
  <c r="E12" i="13"/>
  <c r="F12" i="13"/>
  <c r="K11" i="13"/>
  <c r="B323" i="20" s="1"/>
  <c r="H12" i="13" l="1"/>
  <c r="R67" i="10"/>
  <c r="K12" i="13"/>
  <c r="B473" i="20" s="1"/>
  <c r="S61" i="10" l="1"/>
  <c r="S67" i="10" s="1"/>
  <c r="E22" i="13"/>
  <c r="H22" i="13" s="1"/>
  <c r="V53" i="10"/>
  <c r="V58" i="10" l="1"/>
  <c r="B420" i="20" s="1"/>
  <c r="V59" i="10"/>
  <c r="B450" i="20" s="1"/>
  <c r="V56" i="10"/>
  <c r="B419" i="20" s="1"/>
  <c r="V55" i="10"/>
  <c r="B388" i="20" s="1"/>
  <c r="B387" i="20"/>
  <c r="B418" i="20"/>
  <c r="K22" i="13"/>
  <c r="K20" i="13"/>
  <c r="K21" i="13" s="1"/>
  <c r="B474"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C4" authorId="0" shapeId="0" xr:uid="{8DD7E937-1795-4043-8E3E-6B600FB52BE7}">
      <text>
        <r>
          <rPr>
            <sz val="9"/>
            <color indexed="81"/>
            <rFont val="Tahoma"/>
            <family val="2"/>
          </rPr>
          <t>Commercial/Retail or Supportive Service Space that is used for the project and/or the general public. 
Non-Residential space does NOT include space for amenities like community buildings, clubhouses, or leasing offices.</t>
        </r>
      </text>
    </comment>
    <comment ref="A88" authorId="0" shapeId="0" xr:uid="{8986A48E-98DA-47CC-A4EA-DA2F33FB25FF}">
      <text>
        <r>
          <rPr>
            <sz val="9"/>
            <color indexed="81"/>
            <rFont val="Tahoma"/>
            <family val="2"/>
          </rPr>
          <t>All AHP Rental Projects are required to provide a third-party cost certification to verify the final development budget costs at project completion. The cost to obtain the certification should be included here. If no cost is included, please explain why in the text box at the bottom of the tab.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11" authorId="0" shapeId="0" xr:uid="{00000000-0006-0000-0900-000002000000}">
      <text>
        <r>
          <rPr>
            <sz val="8"/>
            <color indexed="81"/>
            <rFont val="Tahoma"/>
            <family val="2"/>
          </rPr>
          <t>The Scheduled Residential Rents should match the total rent from the Targeting &amp; Income Worksheet. For those utilizing the Tenant Income Worksheet tab, the "Total Rent/Year if Fully Occupied" should be entered here. For those utilizing the Rental Project Worksheet tab, the "Total Annual Rent" should be entered here.</t>
        </r>
      </text>
    </comment>
    <comment ref="D46" authorId="1" shapeId="0" xr:uid="{00000000-0006-0000-0900-000003000000}">
      <text>
        <r>
          <rPr>
            <sz val="9"/>
            <color indexed="81"/>
            <rFont val="Tahoma"/>
            <family val="2"/>
          </rPr>
          <t>Total Operating Expenses Per Unit Per Annum should be $3,200 to $6,000</t>
        </r>
      </text>
    </comment>
    <comment ref="E48" authorId="1" shapeId="0" xr:uid="{00000000-0006-0000-0900-000004000000}">
      <text>
        <r>
          <rPr>
            <sz val="9"/>
            <color indexed="81"/>
            <rFont val="Tahoma"/>
            <family val="2"/>
          </rPr>
          <t>Enter the percentage the Replacement Reserves should increase year to year.</t>
        </r>
      </text>
    </comment>
    <comment ref="E55"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Katie Gnagi</author>
  </authors>
  <commentList>
    <comment ref="D8" authorId="0" shapeId="0" xr:uid="{00000000-0006-0000-0A00-000001000000}">
      <text>
        <r>
          <rPr>
            <sz val="8"/>
            <color indexed="81"/>
            <rFont val="Tahoma"/>
            <family val="2"/>
          </rPr>
          <t>The number of units is taken from the Total Units shown on the Rental Project Worksheet</t>
        </r>
      </text>
    </comment>
    <comment ref="D9" authorId="1" shapeId="0" xr:uid="{D61718FF-8E34-434C-80CA-8CF060102539}">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<sst xmlns="http://schemas.openxmlformats.org/spreadsheetml/2006/main" count="2515" uniqueCount="1685">
  <si>
    <t>Project Name:</t>
  </si>
  <si>
    <t>Total Units</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</si>
  <si>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</si>
  <si>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</si>
  <si>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</si>
  <si>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</si>
  <si>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</si>
  <si>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</si>
  <si>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</si>
  <si>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</si>
  <si>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</si>
  <si>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</si>
  <si>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</si>
  <si>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</si>
  <si>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</si>
  <si>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</si>
  <si>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</si>
  <si>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</si>
  <si>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</si>
  <si>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</si>
  <si>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</si>
  <si>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</si>
  <si>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</si>
  <si>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</si>
  <si>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</si>
  <si>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</si>
  <si>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</si>
  <si>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</si>
  <si>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</si>
  <si>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</si>
  <si>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</si>
  <si>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</si>
  <si>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</si>
  <si>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</si>
  <si>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</si>
  <si>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</si>
  <si>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</si>
  <si>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</si>
  <si>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</si>
  <si>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</si>
  <si>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</si>
  <si>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</si>
  <si>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</si>
  <si>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</si>
  <si>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</si>
  <si>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</si>
  <si>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</si>
  <si>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</si>
  <si>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</si>
  <si>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</si>
  <si>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</si>
  <si>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</si>
  <si>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</si>
  <si>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</si>
  <si>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</si>
  <si>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</si>
  <si>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</si>
  <si>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</si>
  <si>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</si>
  <si>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</si>
  <si>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</si>
  <si>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</si>
  <si>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Appraisal</t>
  </si>
  <si>
    <t>Real Estate Taxes</t>
  </si>
  <si>
    <t>Total Units:</t>
  </si>
  <si>
    <t>Blue shaded areas indicate data to be entered by applicant.</t>
  </si>
  <si>
    <t>Grant</t>
  </si>
  <si>
    <t>Demolition</t>
  </si>
  <si>
    <t xml:space="preserve">New Construction Costs  </t>
  </si>
  <si>
    <t xml:space="preserve">General Requirements  </t>
  </si>
  <si>
    <t xml:space="preserve">Construction Contingency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</si>
  <si>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</si>
  <si>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</si>
  <si>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</si>
  <si>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</si>
  <si>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</si>
  <si>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</si>
  <si>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Expense Escalator  </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</si>
  <si>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</si>
  <si>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</si>
  <si>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</si>
  <si>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</si>
  <si>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</si>
  <si>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</si>
  <si>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</si>
  <si>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</si>
  <si>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State</t>
  </si>
  <si>
    <t>Escalator</t>
  </si>
  <si>
    <t>Tax Credit</t>
  </si>
  <si>
    <t>AHP Guideline</t>
  </si>
  <si>
    <t>Term in Months</t>
  </si>
  <si>
    <t>Annual Debt Service</t>
  </si>
  <si>
    <t>Construction/Interim Financing</t>
  </si>
  <si>
    <t xml:space="preserve">Construction and Rehabilitation </t>
  </si>
  <si>
    <t>Elevator?</t>
  </si>
  <si>
    <t>Type (Loan, Grant or Equity)</t>
  </si>
  <si>
    <t>Amortized in Months</t>
  </si>
  <si>
    <t>Management Fees</t>
  </si>
  <si>
    <t>Operating Reserves (capitalized)</t>
  </si>
  <si>
    <t>Debt Service Reserves</t>
  </si>
  <si>
    <t>Pro Forma</t>
  </si>
  <si>
    <t>Construction Loan Fee</t>
  </si>
  <si>
    <t>Permanent Loan Fee</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</si>
  <si>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</si>
  <si>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</si>
  <si>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</si>
  <si>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</si>
  <si>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</si>
  <si>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</si>
  <si>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</si>
  <si>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Equity</t>
  </si>
  <si>
    <t>Approved</t>
  </si>
  <si>
    <t>Requested</t>
  </si>
  <si>
    <t>Validation</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</si>
  <si>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</si>
  <si>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</si>
  <si>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</si>
  <si>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</si>
  <si>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</si>
  <si>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</si>
  <si>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</si>
  <si>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</si>
  <si>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</si>
  <si>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</si>
  <si>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</si>
  <si>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</si>
  <si>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</si>
  <si>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</si>
  <si>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</si>
  <si>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</si>
  <si>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</si>
  <si>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</si>
  <si>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</si>
  <si>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</si>
  <si>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</si>
  <si>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</si>
  <si>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</si>
  <si>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</si>
  <si>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</si>
  <si>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</si>
  <si>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</si>
  <si>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</si>
  <si>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</si>
  <si>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</si>
  <si>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</si>
  <si>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</si>
  <si>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</si>
  <si>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</si>
  <si>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</si>
  <si>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</si>
  <si>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</si>
  <si>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</si>
  <si>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</si>
  <si>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</si>
  <si>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</si>
  <si>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</si>
  <si>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</si>
  <si>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</si>
  <si>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</si>
  <si>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</si>
  <si>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</si>
  <si>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</si>
  <si>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</si>
  <si>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</si>
  <si>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</si>
  <si>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</si>
  <si>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</si>
  <si>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</si>
  <si>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</si>
  <si>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</si>
  <si>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</si>
  <si>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</si>
  <si>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</si>
  <si>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</si>
  <si>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</si>
  <si>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</si>
  <si>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</si>
  <si>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</si>
  <si>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</si>
  <si>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</si>
  <si>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</si>
  <si>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</si>
  <si>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</si>
  <si>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</si>
  <si>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</si>
  <si>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</si>
  <si>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</si>
  <si>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</si>
  <si>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</si>
  <si>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</si>
  <si>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</si>
  <si>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</si>
  <si>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</si>
  <si>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</si>
  <si>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</si>
  <si>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</si>
  <si>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</si>
  <si>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</si>
  <si>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</si>
  <si>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</si>
  <si>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</si>
  <si>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</si>
  <si>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</si>
  <si>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</si>
  <si>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</si>
  <si>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</si>
  <si>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</si>
  <si>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</si>
  <si>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</si>
  <si>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</si>
  <si>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</si>
  <si>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</si>
  <si>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</si>
  <si>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</si>
  <si>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</si>
  <si>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</si>
  <si>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</si>
  <si>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</si>
  <si>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</si>
  <si>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</si>
  <si>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</si>
  <si>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</si>
  <si>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</si>
  <si>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</si>
  <si>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</si>
  <si>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</si>
  <si>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</si>
  <si>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</si>
  <si>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</si>
  <si>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</si>
  <si>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</si>
  <si>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</si>
  <si>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</si>
  <si>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</si>
  <si>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</si>
  <si>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</si>
  <si>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</si>
  <si>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</si>
  <si>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</si>
  <si>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</si>
  <si>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</si>
  <si>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</si>
  <si>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</si>
  <si>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</si>
  <si>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</si>
  <si>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</si>
  <si>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</si>
  <si>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</si>
  <si>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</si>
  <si>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</si>
  <si>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</si>
  <si>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</si>
  <si>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</si>
  <si>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</si>
  <si>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</si>
  <si>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</si>
  <si>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</si>
  <si>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</si>
  <si>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</si>
  <si>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</si>
  <si>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</si>
  <si>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</si>
  <si>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</si>
  <si>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</si>
  <si>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</si>
  <si>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</si>
  <si>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</si>
  <si>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</si>
  <si>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</si>
  <si>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</si>
  <si>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</si>
  <si>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</si>
  <si>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</si>
  <si>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</si>
  <si>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</si>
  <si>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</si>
  <si>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</si>
  <si>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</si>
  <si>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</si>
  <si>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</si>
  <si>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</si>
  <si>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</si>
  <si>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</si>
  <si>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</si>
  <si>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</si>
  <si>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</si>
  <si>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</si>
  <si>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</si>
  <si>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</si>
  <si>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</si>
  <si>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</si>
  <si>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</si>
  <si>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</si>
  <si>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</si>
  <si>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</si>
  <si>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</si>
  <si>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</si>
  <si>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</si>
  <si>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</si>
  <si>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</si>
  <si>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</si>
  <si>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</si>
  <si>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</si>
  <si>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</si>
  <si>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</si>
  <si>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</si>
  <si>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</si>
  <si>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</si>
  <si>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</si>
  <si>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</si>
  <si>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</si>
  <si>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</si>
  <si>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</si>
  <si>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</si>
  <si>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</si>
  <si>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</si>
  <si>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</si>
  <si>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</si>
  <si>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</si>
  <si>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</si>
  <si>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</si>
  <si>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</si>
  <si>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</si>
  <si>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</si>
  <si>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</si>
  <si>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</si>
  <si>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</si>
  <si>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</si>
  <si>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</si>
  <si>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</si>
  <si>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</si>
  <si>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</si>
  <si>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</si>
  <si>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</si>
  <si>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</si>
  <si>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</si>
  <si>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</si>
  <si>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</si>
  <si>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</si>
  <si>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</si>
  <si>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</si>
  <si>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</si>
  <si>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</si>
  <si>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</si>
  <si>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</si>
  <si>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</si>
  <si>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</si>
  <si>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</si>
  <si>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</si>
  <si>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</si>
  <si>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</si>
  <si>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</si>
  <si>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</si>
  <si>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</si>
  <si>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</si>
  <si>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</si>
  <si>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</si>
  <si>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</si>
  <si>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</si>
  <si>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</si>
  <si>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</si>
  <si>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</si>
  <si>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</si>
  <si>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</si>
  <si>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</si>
  <si>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</si>
  <si>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</si>
  <si>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</si>
  <si>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</si>
  <si>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</si>
  <si>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</si>
  <si>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</si>
  <si>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</si>
  <si>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</si>
  <si>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</si>
  <si>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</si>
  <si>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</si>
  <si>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</si>
  <si>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</si>
  <si>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</si>
  <si>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</si>
  <si>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</si>
  <si>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</si>
  <si>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</si>
  <si>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</si>
  <si>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</si>
  <si>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</si>
  <si>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</si>
  <si>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</si>
  <si>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</si>
  <si>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</si>
  <si>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</si>
  <si>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</si>
  <si>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</si>
  <si>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</si>
  <si>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</si>
  <si>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</si>
  <si>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</si>
  <si>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</si>
  <si>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</si>
  <si>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</si>
  <si>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</si>
  <si>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</si>
  <si>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</si>
  <si>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</si>
  <si>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</si>
  <si>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</si>
  <si>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</si>
  <si>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</si>
  <si>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</si>
  <si>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</si>
  <si>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</si>
  <si>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</si>
  <si>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</si>
  <si>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</si>
  <si>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</si>
  <si>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</si>
  <si>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</si>
  <si>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</si>
  <si>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</si>
  <si>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</si>
  <si>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</si>
  <si>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</si>
  <si>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</si>
  <si>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</si>
  <si>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</si>
  <si>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</si>
  <si>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</si>
  <si>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</si>
  <si>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</si>
  <si>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</si>
  <si>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</si>
  <si>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</si>
  <si>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</si>
  <si>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</si>
  <si>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</si>
  <si>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</si>
  <si>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</si>
  <si>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</si>
  <si>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</si>
  <si>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</si>
  <si>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</si>
  <si>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</si>
  <si>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</si>
  <si>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</si>
  <si>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</si>
  <si>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</si>
  <si>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</si>
  <si>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</si>
  <si>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</si>
  <si>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</si>
  <si>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</si>
  <si>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</si>
  <si>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</si>
  <si>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</si>
  <si>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</si>
  <si>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</si>
  <si>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</si>
  <si>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</si>
  <si>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</si>
  <si>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</si>
  <si>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</si>
  <si>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</si>
  <si>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</si>
  <si>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</si>
  <si>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</si>
  <si>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</si>
  <si>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</si>
  <si>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</si>
  <si>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</si>
  <si>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</si>
  <si>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</si>
  <si>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</si>
  <si>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</si>
  <si>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</si>
  <si>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</si>
  <si>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</si>
  <si>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</si>
  <si>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Bond Issue Reserve/Bond Issuance</t>
  </si>
  <si>
    <t>% of EGI between .85 and 1</t>
  </si>
  <si>
    <t>Permanent Loan Interest Rate - Highest</t>
  </si>
  <si>
    <t xml:space="preserve">  Cumulative Cash Flow</t>
  </si>
  <si>
    <t>(specify)</t>
  </si>
  <si>
    <t>Maricopa Co, Arizona</t>
  </si>
  <si>
    <t>Pima Co, Arizona</t>
  </si>
  <si>
    <t>Los Angeles Co, California</t>
  </si>
  <si>
    <t>Broomfield Co, Colorado</t>
  </si>
  <si>
    <t>Hampden Co, Massachusetts</t>
  </si>
  <si>
    <t>Eaton Co, Michigan</t>
  </si>
  <si>
    <t>Replacement Reserves (capitalized)</t>
  </si>
  <si>
    <t>Max $350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</si>
  <si>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</si>
  <si>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</si>
  <si>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</si>
  <si>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</si>
  <si>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</si>
  <si>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</si>
  <si>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</si>
  <si>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 xml:space="preserve"> INCOME</t>
  </si>
  <si>
    <t xml:space="preserve"> SERVICE EXPENSES</t>
  </si>
  <si>
    <t>Total Service Income</t>
  </si>
  <si>
    <t>NET SERVICE INCOME</t>
  </si>
  <si>
    <t xml:space="preserve">Owner Equity </t>
  </si>
  <si>
    <t>Deferred Developer Fee</t>
  </si>
  <si>
    <t>Deferred Developer Fee Repayment</t>
  </si>
  <si>
    <t>Total Operating Expenses</t>
  </si>
  <si>
    <t>Total Effective Gross Income (EGI)</t>
  </si>
  <si>
    <t>PUPM Yr1</t>
  </si>
  <si>
    <t>Replacement Reserves (Min and Max per unit)</t>
  </si>
  <si>
    <t>$250 - $500 per unit annually</t>
  </si>
  <si>
    <t>Project Information Worksheet</t>
  </si>
  <si>
    <t>Project Type:</t>
  </si>
  <si>
    <t>Project County:</t>
  </si>
  <si>
    <t>Project State:</t>
  </si>
  <si>
    <t>Other: (specify)</t>
  </si>
  <si>
    <t>Total Budget Amount</t>
  </si>
  <si>
    <t>Non- Residential</t>
  </si>
  <si>
    <t>Non-Residential Costs</t>
  </si>
  <si>
    <t>Total Development Costs</t>
  </si>
  <si>
    <t>Total Construction Sources</t>
  </si>
  <si>
    <t>Identifier</t>
  </si>
  <si>
    <t>Name</t>
  </si>
  <si>
    <t>Rental</t>
  </si>
  <si>
    <t>Use Type</t>
  </si>
  <si>
    <t>Total Opex</t>
  </si>
  <si>
    <t>OPEX Per Unit</t>
  </si>
  <si>
    <t>Construction Type:</t>
  </si>
  <si>
    <t>Supportive Service</t>
  </si>
  <si>
    <t>Furniture, Fixtures, and Equipment (FF&amp;E)</t>
  </si>
  <si>
    <t>Project Type</t>
  </si>
  <si>
    <t>Tan shaded cells include formulas that will automatically calculate but can be overwritten.</t>
  </si>
  <si>
    <t>Total Residential Costs</t>
  </si>
  <si>
    <t>Loan Fees (Origination, Discount Points, etc)</t>
  </si>
  <si>
    <t>Loan Fee %</t>
  </si>
  <si>
    <t xml:space="preserve">General Contractor Overhead  </t>
  </si>
  <si>
    <t xml:space="preserve">General Contractor Profit  </t>
  </si>
  <si>
    <t>Tenants Pay Water/Sewer</t>
  </si>
  <si>
    <t>Reserve Escalator:</t>
  </si>
  <si>
    <t>Tab</t>
  </si>
  <si>
    <t>Sources of Funds</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</si>
  <si>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</si>
  <si>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</si>
  <si>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</si>
  <si>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</si>
  <si>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</si>
  <si>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</si>
  <si>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</si>
  <si>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</si>
  <si>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</si>
  <si>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</si>
  <si>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</si>
  <si>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</si>
  <si>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</si>
  <si>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</si>
  <si>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</si>
  <si>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</si>
  <si>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</si>
  <si>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</si>
  <si>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</si>
  <si>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</si>
  <si>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</si>
  <si>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</si>
  <si>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</si>
  <si>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</si>
  <si>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</si>
  <si>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</si>
  <si>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</si>
  <si>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</si>
  <si>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</si>
  <si>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</si>
  <si>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</si>
  <si>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</si>
  <si>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</si>
  <si>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</si>
  <si>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</si>
  <si>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</si>
  <si>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</si>
  <si>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</si>
  <si>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</si>
  <si>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</si>
  <si>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</si>
  <si>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</si>
  <si>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</si>
  <si>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</si>
  <si>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</si>
  <si>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</si>
  <si>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</si>
  <si>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</si>
  <si>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</si>
  <si>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</si>
  <si>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</si>
  <si>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</si>
  <si>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</si>
  <si>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</si>
  <si>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</si>
  <si>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</si>
  <si>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</si>
  <si>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</si>
  <si>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</si>
  <si>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</si>
  <si>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</si>
  <si>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</si>
  <si>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</si>
  <si>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</si>
  <si>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</si>
  <si>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</si>
  <si>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</si>
  <si>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</si>
  <si>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</si>
  <si>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</si>
  <si>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</si>
  <si>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</si>
  <si>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</si>
  <si>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</si>
  <si>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</si>
  <si>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</si>
  <si>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</si>
  <si>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</si>
  <si>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</si>
  <si>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</si>
  <si>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</si>
  <si>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</si>
  <si>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</si>
  <si>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</si>
  <si>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</si>
  <si>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</si>
  <si>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</si>
  <si>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</si>
  <si>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</si>
  <si>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</si>
  <si>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</si>
  <si>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</si>
  <si>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</si>
  <si>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</si>
  <si>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</si>
  <si>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</si>
  <si>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</si>
  <si>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</si>
  <si>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</si>
  <si>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</si>
  <si>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</si>
  <si>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</si>
  <si>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</si>
  <si>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</si>
  <si>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</si>
  <si>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</si>
  <si>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</si>
  <si>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</si>
  <si>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</si>
  <si>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</si>
  <si>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</si>
  <si>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</si>
  <si>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</si>
  <si>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</si>
  <si>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</si>
  <si>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</si>
  <si>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</si>
  <si>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</si>
  <si>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</si>
  <si>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</si>
  <si>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</si>
  <si>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</si>
  <si>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</si>
  <si>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</si>
  <si>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</si>
  <si>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</si>
  <si>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</si>
  <si>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</si>
  <si>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</si>
  <si>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</si>
  <si>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</si>
  <si>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</si>
  <si>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</si>
  <si>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</si>
  <si>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</si>
  <si>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</si>
  <si>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</si>
  <si>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</si>
  <si>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</si>
  <si>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</si>
  <si>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</si>
  <si>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</si>
  <si>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</si>
  <si>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</si>
  <si>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</si>
  <si>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</si>
  <si>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</si>
  <si>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</si>
  <si>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</si>
  <si>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</si>
  <si>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</si>
  <si>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</si>
  <si>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</si>
  <si>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</si>
  <si>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</si>
  <si>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</si>
  <si>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</si>
  <si>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</si>
  <si>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</si>
  <si>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</si>
  <si>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</si>
  <si>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</si>
  <si>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</si>
  <si>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</si>
  <si>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</si>
  <si>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</si>
  <si>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</si>
  <si>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</si>
  <si>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</si>
  <si>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</si>
  <si>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</si>
  <si>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</si>
  <si>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</si>
  <si>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</si>
  <si>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</si>
  <si>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</si>
  <si>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</si>
  <si>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</si>
  <si>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</si>
  <si>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</si>
  <si>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</si>
  <si>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</si>
  <si>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</si>
  <si>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</si>
  <si>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</si>
  <si>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</si>
  <si>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</si>
  <si>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</si>
  <si>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</si>
  <si>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</si>
  <si>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</si>
  <si>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</si>
  <si>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</si>
  <si>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</si>
  <si>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</si>
  <si>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</si>
  <si>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</si>
  <si>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</si>
  <si>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</si>
  <si>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</si>
  <si>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</si>
  <si>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</si>
  <si>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</si>
  <si>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</si>
  <si>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</si>
  <si>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</si>
  <si>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</si>
  <si>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</si>
  <si>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</si>
  <si>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</si>
  <si>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</si>
  <si>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</si>
  <si>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</si>
  <si>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</si>
  <si>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</si>
  <si>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</si>
  <si>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</si>
  <si>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</si>
  <si>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</si>
  <si>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</si>
  <si>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</si>
  <si>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</si>
  <si>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</si>
  <si>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</si>
  <si>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</si>
  <si>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</si>
  <si>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</si>
  <si>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</si>
  <si>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</si>
  <si>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</si>
  <si>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</si>
  <si>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</si>
  <si>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</si>
  <si>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</si>
  <si>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</si>
  <si>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</si>
  <si>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</si>
  <si>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</si>
  <si>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</si>
  <si>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</si>
  <si>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</si>
  <si>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</si>
  <si>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</si>
  <si>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</si>
  <si>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</si>
  <si>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</si>
  <si>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</si>
  <si>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</si>
  <si>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</si>
  <si>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</si>
  <si>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</si>
  <si>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</si>
  <si>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</si>
  <si>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</si>
  <si>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</si>
  <si>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</si>
  <si>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</si>
  <si>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</si>
  <si>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</si>
  <si>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</si>
  <si>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</si>
  <si>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</si>
  <si>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</si>
  <si>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</si>
  <si>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</si>
  <si>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</si>
  <si>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</si>
  <si>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</si>
  <si>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</si>
  <si>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</si>
  <si>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</si>
  <si>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</si>
  <si>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</si>
  <si>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</si>
  <si>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</si>
  <si>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</si>
  <si>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</si>
  <si>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</si>
  <si>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</si>
  <si>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</si>
  <si>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</si>
  <si>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</si>
  <si>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</si>
  <si>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</si>
  <si>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</si>
  <si>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</si>
  <si>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</si>
  <si>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</si>
  <si>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</si>
  <si>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</si>
  <si>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</si>
  <si>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</si>
  <si>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</si>
  <si>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</si>
  <si>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</si>
  <si>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</si>
  <si>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</si>
  <si>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</si>
  <si>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</si>
  <si>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</si>
  <si>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</si>
  <si>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</si>
  <si>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</si>
  <si>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</si>
  <si>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</si>
  <si>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</si>
  <si>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</si>
  <si>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</si>
  <si>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</si>
  <si>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</si>
  <si>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</si>
  <si>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</si>
  <si>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</si>
  <si>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</si>
  <si>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</si>
  <si>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</si>
  <si>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</si>
  <si>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</si>
  <si>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</si>
  <si>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</si>
  <si>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</si>
  <si>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</si>
  <si>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</si>
  <si>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</si>
  <si>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</si>
  <si>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</si>
  <si>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</si>
  <si>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</si>
  <si>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</si>
  <si>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</si>
  <si>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</si>
  <si>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</si>
  <si>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</si>
  <si>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</si>
  <si>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</si>
  <si>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</si>
  <si>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</si>
  <si>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</si>
  <si>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</si>
  <si>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</si>
  <si>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</si>
  <si>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</si>
  <si>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</si>
  <si>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</si>
  <si>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</si>
  <si>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</si>
  <si>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</si>
  <si>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</si>
  <si>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</si>
  <si>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</si>
  <si>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</si>
  <si>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</si>
  <si>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</si>
  <si>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</si>
  <si>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</si>
  <si>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</si>
  <si>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</si>
  <si>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</si>
  <si>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</si>
  <si>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</si>
  <si>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</si>
  <si>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</si>
  <si>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</si>
  <si>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</si>
  <si>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</si>
  <si>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</si>
  <si>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</si>
  <si>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</si>
  <si>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</si>
  <si>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</si>
  <si>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</si>
  <si>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</si>
  <si>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</si>
  <si>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</si>
  <si>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</si>
  <si>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</si>
  <si>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</si>
  <si>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</si>
  <si>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</si>
  <si>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</si>
  <si>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</si>
  <si>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</si>
  <si>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</si>
  <si>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</si>
  <si>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</si>
  <si>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</si>
  <si>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</si>
  <si>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</si>
  <si>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</si>
  <si>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</si>
  <si>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</si>
  <si>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</si>
  <si>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</si>
  <si>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</si>
  <si>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</si>
  <si>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</si>
  <si>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</si>
  <si>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</si>
  <si>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</si>
  <si>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</si>
  <si>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</si>
  <si>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</si>
  <si>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</si>
  <si>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</si>
  <si>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</si>
  <si>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</si>
  <si>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</si>
  <si>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</si>
  <si>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</si>
  <si>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</si>
  <si>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</si>
  <si>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</si>
  <si>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</si>
  <si>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</si>
  <si>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</si>
  <si>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</si>
  <si>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</si>
  <si>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</si>
  <si>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</si>
  <si>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</si>
  <si>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</si>
  <si>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</si>
  <si>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</si>
  <si>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</si>
  <si>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</si>
  <si>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</si>
  <si>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</si>
  <si>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</si>
  <si>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</si>
  <si>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</si>
  <si>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</si>
  <si>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</si>
  <si>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</si>
  <si>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</si>
  <si>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</si>
  <si>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</si>
  <si>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</si>
  <si>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</si>
  <si>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</si>
  <si>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</si>
  <si>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</si>
  <si>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</si>
  <si>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</si>
  <si>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</si>
  <si>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</si>
  <si>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</si>
  <si>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</si>
  <si>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</si>
  <si>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</si>
  <si>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</si>
  <si>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</si>
  <si>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</si>
  <si>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</si>
  <si>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</si>
  <si>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</si>
  <si>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</si>
  <si>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</si>
  <si>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</si>
  <si>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</si>
  <si>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</si>
  <si>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</si>
  <si>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</si>
  <si>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</si>
  <si>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</si>
  <si>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</si>
  <si>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</si>
  <si>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</si>
  <si>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</si>
  <si>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</si>
  <si>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</si>
  <si>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</si>
  <si>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</si>
  <si>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</si>
  <si>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</si>
  <si>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</si>
  <si>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</si>
  <si>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</si>
  <si>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</si>
  <si>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</si>
  <si>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</si>
  <si>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</si>
  <si>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</si>
  <si>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</si>
  <si>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</si>
  <si>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</si>
  <si>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</si>
  <si>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</si>
  <si>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</si>
  <si>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</si>
  <si>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</si>
  <si>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</si>
  <si>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</si>
  <si>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</si>
  <si>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</si>
  <si>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</si>
  <si>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</si>
  <si>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</si>
  <si>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</si>
  <si>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</si>
  <si>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</si>
  <si>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</si>
  <si>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</si>
  <si>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</si>
  <si>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</si>
  <si>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</si>
  <si>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</si>
  <si>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</si>
  <si>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</si>
  <si>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</si>
  <si>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</si>
  <si>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</si>
  <si>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</si>
  <si>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</si>
  <si>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</si>
  <si>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</si>
  <si>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</si>
  <si>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</si>
  <si>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</si>
  <si>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</si>
  <si>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</si>
  <si>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</si>
  <si>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</si>
  <si>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</si>
  <si>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</si>
  <si>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</si>
  <si>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</si>
  <si>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</si>
  <si>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</si>
  <si>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</si>
  <si>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</si>
  <si>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</si>
  <si>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</si>
  <si>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</si>
  <si>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</si>
  <si>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</si>
  <si>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</si>
  <si>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</si>
  <si>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</si>
  <si>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</si>
  <si>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</si>
  <si>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</si>
  <si>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</si>
  <si>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</si>
  <si>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</si>
  <si>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</si>
  <si>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</si>
  <si>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</si>
  <si>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</si>
  <si>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</si>
  <si>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</si>
  <si>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</si>
  <si>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</si>
  <si>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</si>
  <si>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</si>
  <si>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</si>
  <si>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</si>
  <si>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</si>
  <si>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</si>
  <si>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</si>
  <si>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</si>
  <si>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</si>
  <si>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</si>
  <si>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</si>
  <si>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Topeka doesn’t analyze this.</t>
  </si>
  <si>
    <t>ACQUISITION COST PER UNIT</t>
  </si>
  <si>
    <t>TOPEKA LOCKS THE FW CELLS</t>
  </si>
  <si>
    <t>ELEVATOR</t>
  </si>
  <si>
    <t># OF REHAB UNITS</t>
  </si>
  <si>
    <t># OF NEW CONST UNITS</t>
  </si>
  <si>
    <t>Non-housing &amp; Accessory Space % - COMMUNITY AND AMMENITIES SPACE %</t>
  </si>
  <si>
    <t>% SQ FT COMMUNITY AND AMENITIES</t>
  </si>
  <si>
    <t>NON-RESIDENTIAL % OF SQ FT</t>
  </si>
  <si>
    <t>GENERAL REQUIREMENTS %</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</si>
  <si>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</si>
  <si>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</si>
  <si>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</si>
  <si>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</si>
  <si>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</si>
  <si>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</si>
  <si>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</si>
  <si>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</si>
  <si>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</si>
  <si>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</si>
  <si>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</si>
  <si>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</si>
  <si>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</si>
  <si>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</si>
  <si>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</si>
  <si>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</si>
  <si>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</si>
  <si>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</si>
  <si>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</si>
  <si>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</si>
  <si>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</si>
  <si>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</si>
  <si>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</si>
  <si>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</si>
  <si>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</si>
  <si>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</si>
  <si>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</si>
  <si>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</si>
  <si>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</si>
  <si>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</si>
  <si>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</si>
  <si>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</si>
  <si>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</si>
  <si>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</si>
  <si>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</si>
  <si>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</si>
  <si>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</si>
  <si>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</si>
  <si>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</si>
  <si>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</si>
  <si>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</si>
  <si>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</si>
  <si>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</si>
  <si>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</si>
  <si>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</si>
  <si>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</si>
  <si>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</si>
  <si>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</si>
  <si>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</si>
  <si>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</si>
  <si>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</si>
  <si>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</si>
  <si>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</si>
  <si>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</si>
  <si>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</si>
  <si>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</si>
  <si>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</si>
  <si>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</si>
  <si>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</si>
  <si>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</si>
  <si>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</si>
  <si>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</si>
  <si>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</si>
  <si>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</si>
  <si>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</si>
  <si>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</si>
  <si>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</si>
  <si>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</si>
  <si>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</si>
  <si>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</si>
  <si>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</si>
  <si>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</si>
  <si>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</si>
  <si>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</si>
  <si>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</si>
  <si>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CASH FLOW/GROSS INCOME</t>
  </si>
  <si>
    <t>Contingency Guideline:</t>
  </si>
  <si>
    <t>Project's Contingency:</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</si>
  <si>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</si>
  <si>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</si>
  <si>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</si>
  <si>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</si>
  <si>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</si>
  <si>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</si>
  <si>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</si>
  <si>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</si>
  <si>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</si>
  <si>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</si>
  <si>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</si>
  <si>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</si>
  <si>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</si>
  <si>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</si>
  <si>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</si>
  <si>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</si>
  <si>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</si>
  <si>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</si>
  <si>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</si>
  <si>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</si>
  <si>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</si>
  <si>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</si>
  <si>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</si>
  <si>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</si>
  <si>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</si>
  <si>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</si>
  <si>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</si>
  <si>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r>
      <t xml:space="preserve">Explanation: </t>
    </r>
    <r>
      <rPr>
        <sz val="10"/>
        <rFont val="Calibri"/>
        <family val="2"/>
        <scheme val="minor"/>
      </rPr>
      <t>In the box below enter any explanation needed.</t>
    </r>
  </si>
  <si>
    <t>Gross Annual Rental Income</t>
  </si>
  <si>
    <t>ADJUSTED TDC</t>
  </si>
  <si>
    <t xml:space="preserve">Empty in 2013; 2014: Total Sqare Feet to match HO s/s </t>
  </si>
  <si>
    <t xml:space="preserve">Absorption Rate is used in the automated system. </t>
  </si>
  <si>
    <t>Added a question about number of months to lease up.</t>
  </si>
  <si>
    <t xml:space="preserve">Renamed 'Rental Assistance Reserves'; same purpose </t>
  </si>
  <si>
    <t>Rental Assistance Reserves</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</si>
  <si>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</si>
  <si>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</si>
  <si>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</si>
  <si>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</si>
  <si>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</si>
  <si>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</si>
  <si>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</si>
  <si>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</si>
  <si>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</si>
  <si>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</si>
  <si>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</si>
  <si>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</si>
  <si>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</si>
  <si>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</si>
  <si>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</si>
  <si>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t>N</t>
  </si>
  <si>
    <t>Description Code</t>
  </si>
  <si>
    <t>Added 2017 Income Limits in column AD.</t>
  </si>
  <si>
    <t xml:space="preserve">2017 Income Limits became available 4/14/2017. </t>
  </si>
  <si>
    <t>Updated formulas and name ranges to incorporate 2017 income limits.</t>
  </si>
  <si>
    <t>Received email 4/19/2017 from Bobbi Shinn with the CHP rates effective on that day.</t>
  </si>
  <si>
    <t>Conditional Formatting and Data Validation to limit AHP Subsidy to $750,000</t>
  </si>
  <si>
    <t>2017 Implementation Plan increased maximum subsidy from $500,000 to $750,000</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</si>
  <si>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</si>
  <si>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</si>
  <si>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</si>
  <si>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</si>
  <si>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</si>
  <si>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</si>
  <si>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</si>
  <si>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</si>
  <si>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</si>
  <si>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</si>
  <si>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</si>
  <si>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</si>
  <si>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</si>
  <si>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</si>
  <si>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</si>
  <si>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</si>
  <si>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</si>
  <si>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</si>
  <si>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</si>
  <si>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</si>
  <si>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</si>
  <si>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</si>
  <si>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</si>
  <si>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</si>
  <si>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</si>
  <si>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</si>
  <si>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</si>
  <si>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t>Updated the interest rate guidelines.</t>
  </si>
  <si>
    <t>CHP Rates as of 4/24/2018.</t>
  </si>
  <si>
    <t xml:space="preserve">Updated formula to include current interest rate guideline where indicated. </t>
  </si>
  <si>
    <t>CHP Rate as of 4/24/2018.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</si>
  <si>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</si>
  <si>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</si>
  <si>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</si>
  <si>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</si>
  <si>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</si>
  <si>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</si>
  <si>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</si>
  <si>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</si>
  <si>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</si>
  <si>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</si>
  <si>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</si>
  <si>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</si>
  <si>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</si>
  <si>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</si>
  <si>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</si>
  <si>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</si>
  <si>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</si>
  <si>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</si>
  <si>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</si>
  <si>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</si>
  <si>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</si>
  <si>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</si>
  <si>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</si>
  <si>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</si>
  <si>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</si>
  <si>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</si>
  <si>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</si>
  <si>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</si>
  <si>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</si>
  <si>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</si>
  <si>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</si>
  <si>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</si>
  <si>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</si>
  <si>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</si>
  <si>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</si>
  <si>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</si>
  <si>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</si>
  <si>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</si>
  <si>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</si>
  <si>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</si>
  <si>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</si>
  <si>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</si>
  <si>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</si>
  <si>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</si>
  <si>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</si>
  <si>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</si>
  <si>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</si>
  <si>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</si>
  <si>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</si>
  <si>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</si>
  <si>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</si>
  <si>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</si>
  <si>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</si>
  <si>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</si>
  <si>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</si>
  <si>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</si>
  <si>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</si>
  <si>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</si>
  <si>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</si>
  <si>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</si>
  <si>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</si>
  <si>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</si>
  <si>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</si>
  <si>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</si>
  <si>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</si>
  <si>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</si>
  <si>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</si>
  <si>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</si>
  <si>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</si>
  <si>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</si>
  <si>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</si>
  <si>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</si>
  <si>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</si>
  <si>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</si>
  <si>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</si>
  <si>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</si>
  <si>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</si>
  <si>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</si>
  <si>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</si>
  <si>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</si>
  <si>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</si>
  <si>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</si>
  <si>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</si>
  <si>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</si>
  <si>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</si>
  <si>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</si>
  <si>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</si>
  <si>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</si>
  <si>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</si>
  <si>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</si>
  <si>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</si>
  <si>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</si>
  <si>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</si>
  <si>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</si>
  <si>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Contractor Fees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</si>
  <si>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</si>
  <si>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</si>
  <si>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</si>
  <si>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</si>
  <si>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</si>
  <si>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</si>
  <si>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</si>
  <si>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</si>
  <si>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</si>
  <si>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</si>
  <si>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</si>
  <si>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</si>
  <si>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</si>
  <si>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</si>
  <si>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</si>
  <si>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</si>
  <si>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</si>
  <si>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</si>
  <si>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</si>
  <si>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</si>
  <si>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</si>
  <si>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</si>
  <si>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</si>
  <si>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</si>
  <si>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</si>
  <si>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</si>
  <si>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</si>
  <si>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</si>
  <si>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</si>
  <si>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</si>
  <si>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</si>
  <si>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</si>
  <si>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</si>
  <si>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</si>
  <si>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</si>
  <si>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</si>
  <si>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</si>
  <si>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</si>
  <si>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</si>
  <si>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</si>
  <si>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</si>
  <si>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</si>
  <si>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</si>
  <si>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</si>
  <si>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</si>
  <si>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</si>
  <si>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</si>
  <si>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</si>
  <si>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</si>
  <si>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</si>
  <si>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</si>
  <si>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</si>
  <si>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</si>
  <si>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</si>
  <si>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</si>
  <si>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</si>
  <si>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</si>
  <si>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</si>
  <si>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</si>
  <si>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</si>
  <si>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</si>
  <si>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</si>
  <si>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</si>
  <si>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Debt Capacity Measurement - Debt Service $/TDC $</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</si>
  <si>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</si>
  <si>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</si>
  <si>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</si>
  <si>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</si>
  <si>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</si>
  <si>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</si>
  <si>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</si>
  <si>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</si>
  <si>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</si>
  <si>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</si>
  <si>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</si>
  <si>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</si>
  <si>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</si>
  <si>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</si>
  <si>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</si>
  <si>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</si>
  <si>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</si>
  <si>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</si>
  <si>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</si>
  <si>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</si>
  <si>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</si>
  <si>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</si>
  <si>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Updated Cells D6 and D9 to increase maximum award and SPU for the 2022 round</t>
  </si>
  <si>
    <t>2022 round will have a maximum award of $1,000,000 or $75,000 per AHP unit</t>
  </si>
  <si>
    <t>Cell L21 formula was throwing an error for DDF and not allowing users to upload to AHP Online</t>
  </si>
  <si>
    <t>Update/Issue</t>
  </si>
  <si>
    <t>Updated to match the AHP IP</t>
  </si>
  <si>
    <t>Maximum SPU is incorrect cell F26</t>
  </si>
  <si>
    <t>Non-Residential Sq Ft Calculations</t>
  </si>
  <si>
    <t>Funding round name updated cell B459</t>
  </si>
  <si>
    <t>Updated to 2023A to match the application year</t>
  </si>
  <si>
    <t>Updated to version 1 to coincide with the first published version</t>
  </si>
  <si>
    <t>Version number cell B461</t>
  </si>
  <si>
    <t>The formula was updated based on a fix that was done in 2022 and tested during the round</t>
  </si>
  <si>
    <t>Update effective date</t>
  </si>
  <si>
    <t>Used by internal and external users to verify the correct FW is being used.</t>
  </si>
  <si>
    <t>Allows for an interest rate closest to when the FW is released for applications.</t>
  </si>
  <si>
    <t>Update mortgage interest rates</t>
  </si>
  <si>
    <t>Update formula to include updated mortgage interest rates (cell B162)</t>
  </si>
  <si>
    <t>Update effective date on income limits</t>
  </si>
  <si>
    <t>Allows for the correct analysis</t>
  </si>
  <si>
    <t>Update USDA income limits</t>
  </si>
  <si>
    <t>***No longer use Income Limits tab for applications - can't delete due to requirements in AHP Online, but should be locked and hidden</t>
  </si>
  <si>
    <t xml:space="preserve">Could not update before round opening due to income limits not be published/released by USDA. </t>
  </si>
  <si>
    <t xml:space="preserve">Leaving blank so that 2022 income limits can be used. </t>
  </si>
  <si>
    <t>Explanation: In the box below enter any further explanations for this page.</t>
  </si>
  <si>
    <t>Updated to 2024A to match the application year</t>
  </si>
  <si>
    <t xml:space="preserve">Leaving blank so that 2023 income limits can be used. </t>
  </si>
  <si>
    <t>Update USDA income limits to 2023 income limits</t>
  </si>
  <si>
    <t xml:space="preserve">Could not update to 2024 income limits before round opening due to income limits not be published/released by USDA. </t>
  </si>
  <si>
    <t>Posey Co, Indiana</t>
  </si>
  <si>
    <t xml:space="preserve">1st and 2nd review of changes were made. No formulas were changed, only the data point was updated. Testing not necessary. </t>
  </si>
  <si>
    <t xml:space="preserve">This aligns with the new 2024 IP updates. </t>
  </si>
  <si>
    <t>Updated the data validation and conditional formatting in D9 to increase maximum award of $1.5 million for the 2024 round</t>
  </si>
  <si>
    <t>Updates that should be done yearly include B132 through B137</t>
  </si>
  <si>
    <t xml:space="preserve"> Rental Assistance Reserves</t>
  </si>
  <si>
    <t>Existing Debt</t>
  </si>
  <si>
    <t>Total Number of Units</t>
  </si>
  <si>
    <t>Total Permanent Sources</t>
  </si>
  <si>
    <t>Permanent Loan*</t>
  </si>
  <si>
    <r>
      <t>Construction Loan</t>
    </r>
    <r>
      <rPr>
        <b/>
        <sz val="10"/>
        <rFont val="Calibri"/>
        <family val="2"/>
        <scheme val="minor"/>
      </rPr>
      <t>*</t>
    </r>
  </si>
  <si>
    <t>Do tenants pay Gas &amp; Electric?</t>
  </si>
  <si>
    <t>Do tenants pay Water &amp; Sewer?</t>
  </si>
  <si>
    <t>Does the Project include non-residential space?</t>
  </si>
  <si>
    <t>Gross Floor Area of All Buildings (Sq Ft.)</t>
  </si>
  <si>
    <t>SRO Unit Floor Area (Sq Ft.)</t>
  </si>
  <si>
    <t>1 Bed Unit Floor Area (Sq Ft.)</t>
  </si>
  <si>
    <t>2 Bed Unit Floor Area (Sq Ft.)</t>
  </si>
  <si>
    <t>3 Bed Unit Floor Area (Sq Ft.)</t>
  </si>
  <si>
    <t>Total Existing Debt</t>
  </si>
  <si>
    <t>INCOME</t>
  </si>
  <si>
    <t xml:space="preserve">     Less Vacancy</t>
  </si>
  <si>
    <t>OPERATING EXPENSES</t>
  </si>
  <si>
    <t xml:space="preserve">     Management Fee</t>
  </si>
  <si>
    <t xml:space="preserve">     Legal</t>
  </si>
  <si>
    <t xml:space="preserve">     Advertising</t>
  </si>
  <si>
    <t xml:space="preserve">     Gas &amp; Electric</t>
  </si>
  <si>
    <t xml:space="preserve">     Water &amp; Sewer</t>
  </si>
  <si>
    <t xml:space="preserve">     Supplies</t>
  </si>
  <si>
    <t xml:space="preserve">     Payroll</t>
  </si>
  <si>
    <t xml:space="preserve">     Waste Removal</t>
  </si>
  <si>
    <t xml:space="preserve">     Accounting</t>
  </si>
  <si>
    <t xml:space="preserve">     Audit</t>
  </si>
  <si>
    <t xml:space="preserve">     Maintenance/Repair</t>
  </si>
  <si>
    <t xml:space="preserve">     Grounds &amp; Decorating</t>
  </si>
  <si>
    <t xml:space="preserve">     Insurance</t>
  </si>
  <si>
    <t xml:space="preserve">     LIHTC Fees</t>
  </si>
  <si>
    <t xml:space="preserve">     Elevator Maintenance</t>
  </si>
  <si>
    <t xml:space="preserve">     Snow Removal</t>
  </si>
  <si>
    <t xml:space="preserve">     Security</t>
  </si>
  <si>
    <t xml:space="preserve">     Pest Control</t>
  </si>
  <si>
    <t xml:space="preserve">     Telephone/Internet</t>
  </si>
  <si>
    <t xml:space="preserve">     Other:</t>
  </si>
  <si>
    <t xml:space="preserve">     Other:  </t>
  </si>
  <si>
    <t xml:space="preserve">     Real Estate Taxes</t>
  </si>
  <si>
    <t xml:space="preserve">     Local &amp; State Assessments</t>
  </si>
  <si>
    <t>RESERVES</t>
  </si>
  <si>
    <t xml:space="preserve">     Replacement Reserves</t>
  </si>
  <si>
    <t xml:space="preserve">     Other: </t>
  </si>
  <si>
    <t>ANNUAL DEBT SERVICE</t>
  </si>
  <si>
    <t>DEBT CAPACITY MEASUREMENT</t>
  </si>
  <si>
    <t>Provide explanation in AHP Online for each issue identified.</t>
  </si>
  <si>
    <t>Construction Loan Fee %</t>
  </si>
  <si>
    <t xml:space="preserve">     Existing Debt Payments</t>
  </si>
  <si>
    <t xml:space="preserve">     Cash Flow Payments: Soft Debt</t>
  </si>
  <si>
    <t xml:space="preserve">     INITIAL CASH FLOW</t>
  </si>
  <si>
    <t xml:space="preserve">     SECONDARY CASH FLOW</t>
  </si>
  <si>
    <t xml:space="preserve">     NET INCOME</t>
  </si>
  <si>
    <t>Construction Loan Interest Rate - Maximum</t>
  </si>
  <si>
    <t>Will Davis Bacon Wages be used?</t>
  </si>
  <si>
    <t xml:space="preserve"> Total Number of Buildings</t>
  </si>
  <si>
    <t xml:space="preserve"> Size of Project Site in Acres</t>
  </si>
  <si>
    <t xml:space="preserve"> Residential Bldg Floor Area (Sq Ft.)</t>
  </si>
  <si>
    <t xml:space="preserve"> Gross Floor Area of Community and Amenities (Sq Ft.)</t>
  </si>
  <si>
    <t xml:space="preserve"> Non-Residential Bldg Floor Area (Sq Ft.)</t>
  </si>
  <si>
    <t>Total Reserves &amp; Operating Expenses</t>
  </si>
  <si>
    <t>Actual</t>
  </si>
  <si>
    <t>EGI % (Min and Max)</t>
  </si>
  <si>
    <t>Months Remaining on Term</t>
  </si>
  <si>
    <t xml:space="preserve">     Deferred Developer Fee Repay</t>
  </si>
  <si>
    <t xml:space="preserve">     Debt Coverage Ratio (DCR)</t>
  </si>
  <si>
    <t xml:space="preserve">     Effective Gross Income % (EGI%)</t>
  </si>
  <si>
    <t xml:space="preserve">     CUMULATIVE CASH FLOW (Before Cash Flow Payments)</t>
  </si>
  <si>
    <t xml:space="preserve">     CUMULATIVE CASH FLOW (After Cash Flow Payments)</t>
  </si>
  <si>
    <t xml:space="preserve">     New Debt Payments</t>
  </si>
  <si>
    <t>ProForma Yr1 =12 mos</t>
  </si>
  <si>
    <t>Avg Annual DS =9 mos</t>
  </si>
  <si>
    <t xml:space="preserve">     Scheduled Residential Rents</t>
  </si>
  <si>
    <t xml:space="preserve">     Laundry, Parking &amp; Other Rev.</t>
  </si>
  <si>
    <t xml:space="preserve">     Property Tax Rebate/Refund</t>
  </si>
  <si>
    <t xml:space="preserve">     Other Income: Rental Assistance</t>
  </si>
  <si>
    <t xml:space="preserve">     Other Income:</t>
  </si>
  <si>
    <t xml:space="preserve">     GROSS INCOME</t>
  </si>
  <si>
    <t>feasibility.rental.permanentLoanfeeMax</t>
  </si>
  <si>
    <t>feasibility.rental.permanentLoanfeeActual</t>
  </si>
  <si>
    <t>feasibility.rental.permanentLoanfeeIntActual</t>
  </si>
  <si>
    <t>feasibility.rental.permanentLoanfeeIntMax</t>
  </si>
  <si>
    <t>feasibility.rental.constrLoanFeeMax</t>
  </si>
  <si>
    <t>feasibility.rental.constrLoanFeeActual</t>
  </si>
  <si>
    <t>feasibility.rental.constrLoanFeeIntMax</t>
  </si>
  <si>
    <t>feasibility.rental.constrLoanFeeIntActual</t>
  </si>
  <si>
    <t>Permanent Loan Fee Percentage. Maximum 2%</t>
  </si>
  <si>
    <t>Permanent Loan Interest Rate</t>
  </si>
  <si>
    <t>Construction Loan Fee Percentage. Maximum 2%</t>
  </si>
  <si>
    <t>Construction Loan Interest Rate</t>
  </si>
  <si>
    <t>Perm Loan Int Rate (15yr)</t>
  </si>
  <si>
    <t>Perm Loan Int Rate (30yr)</t>
  </si>
  <si>
    <t>Max 15 yr</t>
  </si>
  <si>
    <t>Max 30 yr</t>
  </si>
  <si>
    <t>Tenants Pay Gas &amp; Electricity</t>
  </si>
  <si>
    <t>Earthwork - Site Grading, Clearing</t>
  </si>
  <si>
    <t>Local Permit Fees</t>
  </si>
  <si>
    <t>Engineering</t>
  </si>
  <si>
    <t>Surveying</t>
  </si>
  <si>
    <t>Hazard/Risk/Liability Insurance</t>
  </si>
  <si>
    <t>Construction Loan Interest</t>
  </si>
  <si>
    <t>Security</t>
  </si>
  <si>
    <t>Unnecessary questions were deleted or moved to other tabs of the workbook. Project Characteristics was updated to only request information necessary to CR. Hidden formulas updated/deleted to match the revised/removed questions.</t>
  </si>
  <si>
    <t>Removing extraneous information irrelevant to AHP review of project viability to streamline process/review.</t>
  </si>
  <si>
    <t>Rearranging questions to align with the applicable tab.</t>
  </si>
  <si>
    <t xml:space="preserve">Deleted tab. This tab was combined with the TIW workbook and renamed the Targeting and Income Worksheet. </t>
  </si>
  <si>
    <t>Removing the RPW removes the need to include the income limits in the FW. All sponsors will now be required to fill out and upload the Targeting and Income Worksheet separately.</t>
  </si>
  <si>
    <t>Removed non-residential sources of funds section. All sources related to the Dev Budget will be entered in the single Permanent Financing section.</t>
  </si>
  <si>
    <t>Non-residential sources were originally separated to ensure AHP funds were only applied to residential costs. Reviewers will now instead check if the total Residential Costs in the Dev Budget are greater than or equal to the amount of AHP subsidy awarded (via procedure).</t>
  </si>
  <si>
    <t>An Existing Debt section was added.</t>
  </si>
  <si>
    <t>Existing debt was originally included with Permanent Financing, which required the existing debt to also appear in the Dev Budget. Since existing debt is not a part of the AHP Project and is only included in the FW for the purposes of showing the debt payments in the pro forma, a separate section was created, and the payments automatically flow to the Housing Pro Forma (line 56).</t>
  </si>
  <si>
    <t>Construction/Interim Financing was reformatted to match the Permanent Financing section. Unnecessary columns are grayed out.</t>
  </si>
  <si>
    <t>Reformatting for consistency and clarity.</t>
  </si>
  <si>
    <t>Data Validation on vacancy rates was removed and replaced with red text which appears and requires explanation if vacancy is over 7%.</t>
  </si>
  <si>
    <t>Title/Instruction lines removed at top of tab. Question regarding Non-Residential space moved from Project Information to here. "Escrows" line was removed from Project Reserves section and replaced with an "Other" line.</t>
  </si>
  <si>
    <t>Conditional Formatting was updated in the "Type (Loan, Grant or Equity)" column so it highlights yellow if an amount was entered in the line.</t>
  </si>
  <si>
    <t>This information is necessary in order for the Commitment Letters screen in AHP Online to recognize the source.</t>
  </si>
  <si>
    <t>Tax Credit Sales Price was removed.</t>
  </si>
  <si>
    <t>This information is not necessary for AHP review.</t>
  </si>
  <si>
    <t>Project's frequently have actual vacancy over 7% in year 1. Removing the validation allows the project to enter an amount greater than 7% while still requiring explanation/review of anything exceeding this.</t>
  </si>
  <si>
    <t>Removed instructions at top of tab.</t>
  </si>
  <si>
    <t>Information provided limited value and caused more scrolling for users.</t>
  </si>
  <si>
    <t>Sticky note was updated in E10 to instruct users on how to determine year 1 Residential Rents.</t>
  </si>
  <si>
    <t>The new Targeting and Income Worksheet is required to be filled out by all users, and instructs users on what to enter in pro forma.</t>
  </si>
  <si>
    <t>Letters/numbering for line items in the pro forma were removed.</t>
  </si>
  <si>
    <t>Extraneous text.</t>
  </si>
  <si>
    <t>Before and After Cash Flow Payment lines were reordered.</t>
  </si>
  <si>
    <t>Flipped order to match logical sequence (before, then after).</t>
  </si>
  <si>
    <t>Questions regarding tenants paying utilities were transferred to the top of this tab from the Project Information tab.</t>
  </si>
  <si>
    <t>This information is needed for review to determine if utility expense lines are reasonable.</t>
  </si>
  <si>
    <t>The "Capitalized Reserves" and "Operating Reserve Interest Rate" were removed.</t>
  </si>
  <si>
    <t>These items are not used in the AHP review and do not affect viability/cash flow of the project.</t>
  </si>
  <si>
    <t>Line 60 was added for Other cash flow payments.</t>
  </si>
  <si>
    <t>Allows users to separate loan payments from other cash flow expenses.</t>
  </si>
  <si>
    <t>Relabeled lines for EGI% and DCR. Added header for Debt Capacity Measurement.</t>
  </si>
  <si>
    <t>Matches guideline names in IP.</t>
  </si>
  <si>
    <t>Existing Debt line was added (line 56).</t>
  </si>
  <si>
    <t>Existing debt payments automatically transfer from the Sources of Funds WS.</t>
  </si>
  <si>
    <t>Empty lines added for spacing.</t>
  </si>
  <si>
    <t>Empty rows were added to clearly define the different sections of the pro forma and make information more clear to users.</t>
  </si>
  <si>
    <t>Updated formulas so the questions already on this tab trigger the chart to appear, as applicable.</t>
  </si>
  <si>
    <t>Chart was originally triggered by question on the Project Information screen. Question was transferred here and formulas updated.</t>
  </si>
  <si>
    <t>Annual Debt Service line was removed.</t>
  </si>
  <si>
    <t>The Annual Debt Service on this tab was based on the debt service for non-residential sources of funds. Since this debt service impacts overall cash flow of the project, all debt service is now represented on the Housing Pro Forma tab.</t>
  </si>
  <si>
    <t>Deleted explanation boxes. Tab is uneditable.</t>
  </si>
  <si>
    <t>All guidelines have been added to AHP Online, so explanation from the sponsor is no longer needed in the FW itself. Explanation will be provided within the Feasibility Analysis screen in the system.</t>
  </si>
  <si>
    <t>Column with interim calculations (column B) was hidden. Only the project's actual value and the guideline display.</t>
  </si>
  <si>
    <t>Tab will only be used for internal analysis since all items outside of guidelines will be flagged in AHP Online and require explanation in the system.</t>
  </si>
  <si>
    <t>Subsidy per Unit was removed.</t>
  </si>
  <si>
    <t>This is not a guideline item and is calculated/evaluated in AHP Online via the scoring module.</t>
  </si>
  <si>
    <t>Permanent and Construction Loan Interest Rate guidelines were updated to the current year maximums.</t>
  </si>
  <si>
    <t>Applicable lines were turned Null based on values no longer available from the updates made above.</t>
  </si>
  <si>
    <t>Unnecessary information.</t>
  </si>
  <si>
    <t>Added guidelines for loan interest rates and loan fees so they transfer into AHP Online.</t>
  </si>
  <si>
    <t>All guidelines should now be represented and flagged in AHP Online.</t>
  </si>
  <si>
    <t>Income Limits (Counties)</t>
  </si>
  <si>
    <t>Removed HUD data and renamed tab to "Counties"</t>
  </si>
  <si>
    <t>Income data is no longer needed in the FW due to the removal of the RPW.</t>
  </si>
  <si>
    <t>Removed tab.</t>
  </si>
  <si>
    <t>Lines no longer needing to be evaluated were removed.</t>
  </si>
  <si>
    <t>Certain data points in the RBA Data tab were not being utilized in the comparison of projects and/or are related to guideline items that are reviewed via documenation or other standards in the application review. These items were removed.</t>
  </si>
  <si>
    <t>Developer/Consultant Fee and Contractor Fee guidelines were updated to be based on total costs instead of residential costs.</t>
  </si>
  <si>
    <t>The previous fee calculation only included residential costs from the Development Budget when determining the maximum fees allowed. By this method, the project would be allowed to charge any Developer/Contractor Fee amount as long as the residential portion did not exceed AHP guideline. To ensure the total fees charged by the Developer/Contractor are reasonable, this guideline is now evaluated based on total costs instead of just the residential portion.</t>
  </si>
  <si>
    <t>Updated to remove the need for formulas in the Download tab regarding the transfer of the interest rate guidelines into AHP Online.</t>
  </si>
  <si>
    <t>Permanent Loan Interest Rate guidelines for 15 and 30-year loans were separated.</t>
  </si>
  <si>
    <t>Updated Revision Date in upper corner</t>
  </si>
  <si>
    <t>Minor revisions were needed, requiring updated revision date.</t>
  </si>
  <si>
    <t>Formula in cell B478 was updated to equal cell B29 instead of E29.</t>
  </si>
  <si>
    <t>Correcting error in formula so it obtains correct corresponding guideline item.</t>
  </si>
  <si>
    <t>Updated Funding Round to "2025A".</t>
  </si>
  <si>
    <t>Updated to reflect current round year.</t>
  </si>
  <si>
    <t>Corrected formulas for Contractor and Developer Fees to reference Residential costs only.</t>
  </si>
  <si>
    <t>Updating to match IP guideline.</t>
  </si>
  <si>
    <t>The Non-Residential Costs column was updated to display the amount automatically calculated on a percentage basis (before, this would display in a hidden column, and only the total amount for each section would appear in the actual non-res column).</t>
  </si>
  <si>
    <t>Updating to provide clarity to sponsors and reviewers regarding the calculation that is being completed.</t>
  </si>
  <si>
    <t>Red warning text was removed from the cell next to the County/State asking projects to contact HCD f the county is not listed in the system.</t>
  </si>
  <si>
    <t>The RPW was previously removed from the FW, so the applicable income limits for new counties do not have to be added to the workbook. This note is no longer relevant.</t>
  </si>
  <si>
    <t>Corrected formula in the Validations section for the Existing Debt since it was calculating incorrectly for loans with Interest Only payments.</t>
  </si>
  <si>
    <t>Corrected to calculate interest only payments correctly.</t>
  </si>
  <si>
    <t>A note was added to the Cost Certification line item to inform all applicants that a cost cert is required per the IP, so a cost should be included.</t>
  </si>
  <si>
    <t>Added to inform sponsor of IP requirement.</t>
  </si>
  <si>
    <t>Corrected formula in the Total row in the Existing Debt section to only include Existing Debt.</t>
  </si>
  <si>
    <t>Formula was incorrectly including permanent debt on top of existing debt.</t>
  </si>
  <si>
    <t>Data Validation was added to limit the number of characters that can be entered for the names of all permanent financing sources.</t>
  </si>
  <si>
    <t>AHP Online has a character limit of 60. FW was limited to match AHP Online requirements.</t>
  </si>
  <si>
    <t>Corrected formulas in the Deferred Developer Fee Repayment row to stop calculating after full repayment.</t>
  </si>
  <si>
    <t>Formula was continuing payments after full repayment was already made. This has been corrected.</t>
  </si>
  <si>
    <t>2023A</t>
  </si>
  <si>
    <t>Formulas in column E were updated so the Residential amount for each line item populates even if there are no non-residential costs.</t>
  </si>
  <si>
    <t>Correction needed to ensure Contractor Fee guideline calculates correctly.</t>
  </si>
  <si>
    <t>Effective Date: 04/21/2026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</si>
</sst>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0_);[Red]\(0\)"/>
    <numFmt numFmtId="173" formatCode="0.000"/>
    <numFmt numFmtId="174" formatCode="0.000_);[Red]\(0.000\)"/>
  </numFmts>
  <fonts count="9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sz val="10"/>
      <name val="Calibri"/>
      <family val="2"/>
      <scheme val="minor"/>
    </font>
    <font>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
      <sz val="8.5"/>
      <color rgb="FFFF0000"/>
      <name val="Calibri"/>
      <family val="2"/>
      <scheme val="minor"/>
    </font>
    <font>
      <b/>
      <sz val="9"/>
      <color theme="0"/>
      <name val="Calibri"/>
      <family val="2"/>
      <scheme val="minor"/>
    </font>
    <font>
      <sz val="9"/>
      <color theme="0"/>
      <name val="Calibri"/>
      <family val="2"/>
      <scheme val="minor"/>
    </font>
    <font>
      <b/>
      <sz val="11"/>
      <color rgb="FFFF0000"/>
      <name val="Calibri"/>
      <family val="2"/>
      <scheme val="minor"/>
    </font>
  </fonts>
  <fills count="36">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
      <patternFill patternType="lightTrellis"/>
    </fill>
    <fill>
      <patternFill patternType="lightTrellis">
        <bgColor theme="0"/>
      </patternFill>
    </fill>
    <fill>
      <patternFill patternType="lightTrellis">
        <bgColor theme="0" tint="-0.249977111117893"/>
      </patternFill>
    </fill>
  </fills>
  <borders count="75">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s>
  <cellStyleXfs count="171">
    <xf numFmtId="171" fontId="0" fillId="0" borderId="0"/>
    <xf numFmtId="43" fontId="10" fillId="0" borderId="0" applyFont="0" applyFill="0" applyBorder="0" applyAlignment="0" applyProtection="0"/>
    <xf numFmtId="43" fontId="15"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44" fontId="15" fillId="0" borderId="0" applyFont="0" applyFill="0" applyBorder="0" applyAlignment="0" applyProtection="0"/>
    <xf numFmtId="171" fontId="11" fillId="0" borderId="0"/>
    <xf numFmtId="171" fontId="15" fillId="0" borderId="0"/>
    <xf numFmtId="9" fontId="10" fillId="0" borderId="0" applyFont="0" applyFill="0" applyBorder="0" applyAlignment="0" applyProtection="0"/>
    <xf numFmtId="9" fontId="15" fillId="0" borderId="0" applyFont="0" applyFill="0" applyBorder="0" applyAlignment="0" applyProtection="0"/>
    <xf numFmtId="171" fontId="10" fillId="0" borderId="0"/>
    <xf numFmtId="171" fontId="10" fillId="0" borderId="0"/>
    <xf numFmtId="171" fontId="10" fillId="0" borderId="0"/>
    <xf numFmtId="171" fontId="9" fillId="0" borderId="0"/>
    <xf numFmtId="44" fontId="9" fillId="0" borderId="0" applyFont="0" applyFill="0" applyBorder="0" applyAlignment="0" applyProtection="0"/>
    <xf numFmtId="9" fontId="9"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171" fontId="10" fillId="0" borderId="0"/>
    <xf numFmtId="44" fontId="10" fillId="0" borderId="0" applyFont="0" applyFill="0" applyBorder="0" applyAlignment="0" applyProtection="0"/>
    <xf numFmtId="171" fontId="18" fillId="0" borderId="0" applyNumberFormat="0" applyFill="0" applyBorder="0" applyAlignment="0" applyProtection="0">
      <alignment vertical="top"/>
      <protection locked="0"/>
    </xf>
    <xf numFmtId="44" fontId="10"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38" fontId="19" fillId="0" borderId="0">
      <protection locked="0"/>
    </xf>
    <xf numFmtId="171" fontId="10" fillId="0" borderId="0"/>
    <xf numFmtId="171" fontId="10" fillId="0" borderId="0"/>
    <xf numFmtId="43" fontId="9" fillId="0" borderId="0" applyFont="0" applyFill="0" applyBorder="0" applyAlignment="0" applyProtection="0"/>
    <xf numFmtId="171" fontId="8" fillId="0" borderId="0"/>
    <xf numFmtId="44" fontId="15" fillId="0" borderId="0" applyFont="0" applyFill="0" applyBorder="0" applyAlignment="0" applyProtection="0"/>
    <xf numFmtId="44" fontId="15" fillId="0" borderId="0" applyFont="0" applyFill="0" applyBorder="0" applyAlignment="0" applyProtection="0"/>
    <xf numFmtId="171" fontId="7" fillId="0" borderId="0"/>
    <xf numFmtId="171" fontId="2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7" fillId="0" borderId="0"/>
    <xf numFmtId="44"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71" fontId="7" fillId="0" borderId="0"/>
    <xf numFmtId="171" fontId="6" fillId="0" borderId="0"/>
    <xf numFmtId="44" fontId="6" fillId="0" borderId="0" applyFont="0" applyFill="0" applyBorder="0" applyAlignment="0" applyProtection="0"/>
    <xf numFmtId="171" fontId="1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6" fillId="0" borderId="0"/>
    <xf numFmtId="171" fontId="10" fillId="0" borderId="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9" fontId="5" fillId="0" borderId="0" applyFont="0" applyFill="0" applyBorder="0" applyAlignment="0" applyProtection="0"/>
    <xf numFmtId="44" fontId="4" fillId="0" borderId="0" applyFont="0" applyFill="0" applyBorder="0" applyAlignment="0" applyProtection="0"/>
    <xf numFmtId="0" fontId="11" fillId="0" borderId="0"/>
    <xf numFmtId="0" fontId="81" fillId="0" borderId="0"/>
    <xf numFmtId="0" fontId="15" fillId="0" borderId="0"/>
    <xf numFmtId="44" fontId="3" fillId="0" borderId="0" applyFont="0" applyFill="0" applyBorder="0" applyAlignment="0" applyProtection="0"/>
    <xf numFmtId="44" fontId="3" fillId="0" borderId="0" applyFont="0" applyFill="0" applyBorder="0" applyAlignment="0" applyProtection="0"/>
    <xf numFmtId="0" fontId="10" fillId="0" borderId="0"/>
    <xf numFmtId="44" fontId="2" fillId="0" borderId="0" applyFont="0" applyFill="0" applyBorder="0" applyAlignment="0" applyProtection="0"/>
    <xf numFmtId="44" fontId="2"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44" fontId="1"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23">
    <xf numFmtId="171" fontId="0" fillId="0" borderId="0" xfId="0"/>
    <xf numFmtId="171" fontId="16" fillId="0" borderId="0" xfId="0" applyFont="1" applyAlignment="1" applyProtection="1">
      <alignment vertical="center"/>
    </xf>
    <xf numFmtId="171" fontId="16" fillId="0" borderId="0" xfId="0" applyFont="1" applyAlignment="1" applyProtection="1">
      <alignment horizontal="right" vertical="center"/>
    </xf>
    <xf numFmtId="171" fontId="23" fillId="0" borderId="0" xfId="0" applyFont="1" applyFill="1" applyProtection="1"/>
    <xf numFmtId="171" fontId="23" fillId="0" borderId="0" xfId="0" applyFont="1" applyFill="1" applyAlignment="1" applyProtection="1">
      <alignment horizontal="center"/>
    </xf>
    <xf numFmtId="168" fontId="23" fillId="0" borderId="0" xfId="0" applyNumberFormat="1" applyFont="1" applyFill="1" applyProtection="1"/>
    <xf numFmtId="10" fontId="23" fillId="0" borderId="0" xfId="8" applyNumberFormat="1" applyFont="1" applyFill="1" applyBorder="1" applyAlignment="1" applyProtection="1">
      <alignment horizontal="right"/>
    </xf>
    <xf numFmtId="10" fontId="23" fillId="0" borderId="0" xfId="8" applyNumberFormat="1" applyFont="1" applyFill="1" applyAlignment="1" applyProtection="1">
      <alignment horizontal="right"/>
    </xf>
    <xf numFmtId="171" fontId="23" fillId="0" borderId="0" xfId="0" applyFont="1" applyFill="1" applyAlignment="1" applyProtection="1">
      <alignment wrapText="1"/>
    </xf>
    <xf numFmtId="3" fontId="23" fillId="0" borderId="0" xfId="0" applyNumberFormat="1" applyFont="1" applyFill="1" applyBorder="1" applyProtection="1"/>
    <xf numFmtId="171" fontId="23" fillId="0" borderId="0" xfId="0" applyFont="1" applyFill="1" applyAlignment="1" applyProtection="1">
      <alignment horizontal="center" vertical="center"/>
    </xf>
    <xf numFmtId="171" fontId="23" fillId="0" borderId="0" xfId="0" applyFont="1" applyFill="1" applyAlignment="1" applyProtection="1">
      <alignment horizontal="left" vertical="center"/>
    </xf>
    <xf numFmtId="168" fontId="23" fillId="0" borderId="0" xfId="0" applyNumberFormat="1" applyFont="1" applyFill="1" applyAlignment="1" applyProtection="1">
      <alignment horizontal="center" vertical="center"/>
    </xf>
    <xf numFmtId="168" fontId="23" fillId="0" borderId="0" xfId="1" applyNumberFormat="1" applyFont="1" applyFill="1" applyBorder="1" applyAlignment="1" applyProtection="1">
      <alignment horizontal="center"/>
    </xf>
    <xf numFmtId="171" fontId="21" fillId="0" borderId="0" xfId="0" applyFont="1" applyAlignment="1" applyProtection="1"/>
    <xf numFmtId="171" fontId="16" fillId="0" borderId="0" xfId="0" applyFont="1" applyAlignment="1" applyProtection="1"/>
    <xf numFmtId="171" fontId="25" fillId="0" borderId="0" xfId="0" applyFont="1" applyAlignment="1" applyProtection="1">
      <alignment horizontal="center" vertical="center"/>
    </xf>
    <xf numFmtId="171" fontId="16" fillId="0" borderId="0" xfId="0" applyFont="1" applyFill="1" applyBorder="1" applyAlignment="1" applyProtection="1">
      <alignment vertical="center"/>
    </xf>
    <xf numFmtId="171" fontId="16" fillId="0" borderId="0" xfId="0" applyFont="1" applyFill="1" applyAlignment="1" applyProtection="1">
      <alignment vertical="center"/>
    </xf>
    <xf numFmtId="171" fontId="28" fillId="0" borderId="0" xfId="0" applyFont="1" applyAlignment="1" applyProtection="1">
      <alignment vertical="center"/>
    </xf>
    <xf numFmtId="171" fontId="32" fillId="0" borderId="0" xfId="0" applyFont="1" applyAlignment="1" applyProtection="1">
      <alignment vertical="center"/>
    </xf>
    <xf numFmtId="49" fontId="28" fillId="0" borderId="0" xfId="0" applyNumberFormat="1" applyFont="1" applyBorder="1" applyAlignment="1" applyProtection="1">
      <alignment vertical="center"/>
    </xf>
    <xf numFmtId="14" fontId="16" fillId="0" borderId="0" xfId="0" applyNumberFormat="1" applyFont="1" applyAlignment="1" applyProtection="1">
      <alignment vertical="center"/>
    </xf>
    <xf numFmtId="171" fontId="21" fillId="0" borderId="0" xfId="0" applyFont="1" applyBorder="1" applyAlignment="1" applyProtection="1">
      <alignment horizontal="center" vertical="center" wrapText="1"/>
    </xf>
    <xf numFmtId="171" fontId="16" fillId="0" borderId="0" xfId="0" applyFont="1" applyAlignment="1" applyProtection="1">
      <alignment vertical="center" wrapText="1"/>
    </xf>
    <xf numFmtId="171" fontId="16" fillId="0" borderId="6" xfId="0" applyFont="1" applyFill="1" applyBorder="1" applyAlignment="1" applyProtection="1">
      <alignment horizontal="center" vertical="center" shrinkToFit="1"/>
    </xf>
    <xf numFmtId="164" fontId="16" fillId="4" borderId="6" xfId="0" applyNumberFormat="1" applyFont="1" applyFill="1" applyBorder="1" applyAlignment="1" applyProtection="1">
      <alignment vertical="center"/>
      <protection locked="0"/>
    </xf>
    <xf numFmtId="169" fontId="16" fillId="4" borderId="6" xfId="8" applyNumberFormat="1" applyFont="1" applyFill="1" applyBorder="1" applyAlignment="1" applyProtection="1">
      <alignment vertical="center"/>
      <protection locked="0"/>
    </xf>
    <xf numFmtId="1" fontId="16" fillId="4" borderId="6" xfId="8" applyNumberFormat="1" applyFont="1" applyFill="1" applyBorder="1" applyAlignment="1" applyProtection="1">
      <alignment vertical="center"/>
      <protection locked="0"/>
    </xf>
    <xf numFmtId="1" fontId="16" fillId="4" borderId="6" xfId="0" applyNumberFormat="1" applyFont="1" applyFill="1" applyBorder="1" applyAlignment="1" applyProtection="1">
      <alignment vertical="center"/>
      <protection locked="0"/>
    </xf>
    <xf numFmtId="167" fontId="16" fillId="4" borderId="6" xfId="0" applyNumberFormat="1" applyFont="1" applyFill="1" applyBorder="1" applyAlignment="1" applyProtection="1">
      <alignment vertical="center"/>
      <protection locked="0"/>
    </xf>
    <xf numFmtId="14" fontId="16" fillId="4" borderId="6" xfId="0" applyNumberFormat="1" applyFont="1" applyFill="1" applyBorder="1" applyAlignment="1" applyProtection="1">
      <alignment vertical="center"/>
      <protection locked="0"/>
    </xf>
    <xf numFmtId="42" fontId="16" fillId="4" borderId="6" xfId="4" applyFont="1" applyFill="1" applyBorder="1" applyAlignment="1" applyProtection="1">
      <alignment horizontal="right" vertical="center"/>
      <protection locked="0"/>
    </xf>
    <xf numFmtId="44" fontId="16" fillId="0" borderId="30" xfId="3" applyFont="1" applyFill="1" applyBorder="1" applyAlignment="1" applyProtection="1">
      <alignment vertical="center"/>
    </xf>
    <xf numFmtId="8" fontId="16" fillId="0" borderId="3" xfId="0" applyNumberFormat="1" applyFont="1" applyBorder="1" applyAlignment="1" applyProtection="1">
      <alignment horizontal="center" vertical="center"/>
    </xf>
    <xf numFmtId="10" fontId="16" fillId="0" borderId="51" xfId="0" applyNumberFormat="1" applyFont="1" applyBorder="1" applyAlignment="1" applyProtection="1">
      <alignment vertical="center"/>
    </xf>
    <xf numFmtId="173" fontId="16" fillId="0" borderId="0" xfId="0" applyNumberFormat="1" applyFont="1" applyAlignment="1" applyProtection="1">
      <alignment horizontal="center" vertical="center"/>
    </xf>
    <xf numFmtId="171" fontId="16" fillId="12" borderId="0" xfId="0" applyFont="1" applyFill="1" applyAlignment="1" applyProtection="1">
      <alignment vertical="center"/>
    </xf>
    <xf numFmtId="171" fontId="16" fillId="0" borderId="2" xfId="0" applyFont="1" applyFill="1" applyBorder="1" applyAlignment="1" applyProtection="1">
      <alignment horizontal="center" vertical="center" shrinkToFit="1"/>
    </xf>
    <xf numFmtId="164" fontId="16" fillId="4" borderId="12" xfId="47" applyNumberFormat="1" applyFont="1" applyFill="1" applyBorder="1" applyAlignment="1" applyProtection="1">
      <alignment vertical="center"/>
      <protection locked="0"/>
    </xf>
    <xf numFmtId="169" fontId="16" fillId="12" borderId="2" xfId="8" applyNumberFormat="1" applyFont="1" applyFill="1" applyBorder="1" applyAlignment="1" applyProtection="1">
      <alignment vertical="center"/>
    </xf>
    <xf numFmtId="1" fontId="16" fillId="12" borderId="2" xfId="8" applyNumberFormat="1" applyFont="1" applyFill="1" applyBorder="1" applyAlignment="1" applyProtection="1">
      <alignment vertical="center"/>
    </xf>
    <xf numFmtId="1" fontId="16" fillId="12" borderId="2" xfId="0" applyNumberFormat="1" applyFont="1" applyFill="1" applyBorder="1" applyAlignment="1" applyProtection="1">
      <alignment vertical="center"/>
    </xf>
    <xf numFmtId="167" fontId="16" fillId="12" borderId="3" xfId="0" applyNumberFormat="1" applyFont="1" applyFill="1" applyBorder="1" applyAlignment="1" applyProtection="1">
      <alignment vertical="center"/>
    </xf>
    <xf numFmtId="14" fontId="16" fillId="12" borderId="2" xfId="0" applyNumberFormat="1" applyFont="1" applyFill="1" applyBorder="1" applyAlignment="1" applyProtection="1">
      <alignment vertical="center"/>
    </xf>
    <xf numFmtId="8" fontId="16" fillId="12" borderId="2" xfId="4" applyNumberFormat="1" applyFont="1" applyFill="1" applyBorder="1" applyAlignment="1" applyProtection="1">
      <alignment horizontal="right" vertical="center"/>
    </xf>
    <xf numFmtId="44" fontId="16" fillId="0" borderId="19" xfId="3" applyFont="1" applyFill="1" applyBorder="1" applyAlignment="1" applyProtection="1">
      <alignment vertical="center"/>
    </xf>
    <xf numFmtId="8" fontId="16" fillId="0" borderId="2" xfId="0" applyNumberFormat="1" applyFont="1" applyBorder="1" applyAlignment="1" applyProtection="1">
      <alignment horizontal="center" vertical="center"/>
    </xf>
    <xf numFmtId="171" fontId="16" fillId="0" borderId="19" xfId="0" applyFont="1" applyBorder="1" applyAlignment="1" applyProtection="1">
      <alignment vertical="center"/>
    </xf>
    <xf numFmtId="10" fontId="16" fillId="0" borderId="0" xfId="8" applyNumberFormat="1" applyFont="1" applyAlignment="1" applyProtection="1">
      <alignment vertical="center"/>
    </xf>
    <xf numFmtId="1" fontId="16" fillId="0" borderId="0" xfId="0" applyNumberFormat="1" applyFont="1" applyAlignment="1" applyProtection="1">
      <alignment vertical="center"/>
    </xf>
    <xf numFmtId="171" fontId="16" fillId="0" borderId="37" xfId="0" applyFont="1" applyFill="1" applyBorder="1" applyAlignment="1" applyProtection="1">
      <alignment vertical="center"/>
    </xf>
    <xf numFmtId="171" fontId="16" fillId="4" borderId="12" xfId="0" applyFont="1" applyFill="1" applyBorder="1" applyAlignment="1" applyProtection="1">
      <alignment vertical="center" wrapText="1"/>
      <protection locked="0"/>
    </xf>
    <xf numFmtId="169" fontId="16" fillId="4" borderId="2" xfId="8" applyNumberFormat="1" applyFont="1" applyFill="1" applyBorder="1" applyAlignment="1" applyProtection="1">
      <alignment vertical="center"/>
      <protection locked="0"/>
    </xf>
    <xf numFmtId="1" fontId="16" fillId="4" borderId="2" xfId="8" applyNumberFormat="1" applyFont="1" applyFill="1" applyBorder="1" applyAlignment="1" applyProtection="1">
      <alignment vertical="center"/>
      <protection locked="0"/>
    </xf>
    <xf numFmtId="167" fontId="16" fillId="4" borderId="3" xfId="8" applyNumberFormat="1" applyFont="1" applyFill="1" applyBorder="1" applyAlignment="1" applyProtection="1">
      <alignment vertical="center"/>
      <protection locked="0"/>
    </xf>
    <xf numFmtId="14" fontId="16" fillId="4" borderId="2" xfId="0" applyNumberFormat="1" applyFont="1" applyFill="1" applyBorder="1" applyAlignment="1" applyProtection="1">
      <alignment vertical="center"/>
      <protection locked="0"/>
    </xf>
    <xf numFmtId="8" fontId="16" fillId="4" borderId="2" xfId="4" applyNumberFormat="1" applyFont="1" applyFill="1" applyBorder="1" applyAlignment="1" applyProtection="1">
      <alignment horizontal="right" vertical="center"/>
      <protection locked="0"/>
    </xf>
    <xf numFmtId="10" fontId="16" fillId="0" borderId="19" xfId="0" applyNumberFormat="1" applyFont="1" applyBorder="1" applyAlignment="1" applyProtection="1">
      <alignment vertical="center"/>
    </xf>
    <xf numFmtId="171" fontId="16" fillId="0" borderId="47" xfId="0" applyFont="1" applyFill="1" applyBorder="1" applyAlignment="1" applyProtection="1">
      <alignment horizontal="left" vertical="center"/>
    </xf>
    <xf numFmtId="171" fontId="16" fillId="0" borderId="12" xfId="0" applyFont="1" applyFill="1" applyBorder="1" applyAlignment="1" applyProtection="1">
      <alignment horizontal="left" vertical="center"/>
    </xf>
    <xf numFmtId="164" fontId="16" fillId="4" borderId="2" xfId="47" applyNumberFormat="1" applyFont="1" applyFill="1" applyBorder="1" applyAlignment="1" applyProtection="1">
      <alignment vertical="center"/>
      <protection locked="0"/>
    </xf>
    <xf numFmtId="1" fontId="16" fillId="4" borderId="2" xfId="0" applyNumberFormat="1" applyFont="1" applyFill="1" applyBorder="1" applyAlignment="1" applyProtection="1">
      <alignment vertical="center"/>
      <protection locked="0"/>
    </xf>
    <xf numFmtId="167" fontId="16" fillId="4" borderId="3" xfId="0" applyNumberFormat="1" applyFont="1" applyFill="1" applyBorder="1" applyAlignment="1" applyProtection="1">
      <alignment vertical="center"/>
      <protection locked="0"/>
    </xf>
    <xf numFmtId="42" fontId="16" fillId="4" borderId="2" xfId="4" applyFont="1" applyFill="1" applyBorder="1" applyAlignment="1" applyProtection="1">
      <alignment horizontal="right" vertical="center"/>
      <protection locked="0"/>
    </xf>
    <xf numFmtId="171" fontId="16" fillId="4" borderId="2" xfId="47" applyFont="1" applyFill="1" applyBorder="1" applyAlignment="1" applyProtection="1">
      <alignment horizontal="center" vertical="center" shrinkToFit="1"/>
      <protection locked="0"/>
    </xf>
    <xf numFmtId="164" fontId="16" fillId="4" borderId="2" xfId="0" applyNumberFormat="1" applyFont="1" applyFill="1" applyBorder="1" applyAlignment="1" applyProtection="1">
      <alignment vertical="center"/>
      <protection locked="0"/>
    </xf>
    <xf numFmtId="164" fontId="16" fillId="4" borderId="12" xfId="0" applyNumberFormat="1" applyFont="1" applyFill="1" applyBorder="1" applyAlignment="1" applyProtection="1">
      <alignment vertical="center"/>
      <protection locked="0"/>
    </xf>
    <xf numFmtId="1" fontId="16" fillId="4" borderId="7" xfId="0" applyNumberFormat="1" applyFont="1" applyFill="1" applyBorder="1" applyAlignment="1" applyProtection="1">
      <alignment vertical="center"/>
      <protection locked="0"/>
    </xf>
    <xf numFmtId="167" fontId="16" fillId="4" borderId="2" xfId="0" applyNumberFormat="1" applyFont="1" applyFill="1" applyBorder="1" applyAlignment="1" applyProtection="1">
      <alignment vertical="center"/>
      <protection locked="0"/>
    </xf>
    <xf numFmtId="164" fontId="16" fillId="4" borderId="8" xfId="0" applyNumberFormat="1" applyFont="1" applyFill="1" applyBorder="1" applyAlignment="1" applyProtection="1">
      <alignment vertical="center"/>
      <protection locked="0"/>
    </xf>
    <xf numFmtId="169" fontId="16" fillId="4" borderId="8" xfId="8" applyNumberFormat="1" applyFont="1" applyFill="1" applyBorder="1" applyAlignment="1" applyProtection="1">
      <alignment vertical="center"/>
      <protection locked="0"/>
    </xf>
    <xf numFmtId="1" fontId="16" fillId="4" borderId="8" xfId="8" applyNumberFormat="1" applyFont="1" applyFill="1" applyBorder="1" applyAlignment="1" applyProtection="1">
      <alignment vertical="center"/>
      <protection locked="0"/>
    </xf>
    <xf numFmtId="1" fontId="16" fillId="4" borderId="8" xfId="0" applyNumberFormat="1" applyFont="1" applyFill="1" applyBorder="1" applyAlignment="1" applyProtection="1">
      <alignment vertical="center"/>
      <protection locked="0"/>
    </xf>
    <xf numFmtId="167" fontId="16" fillId="4" borderId="8" xfId="0" applyNumberFormat="1" applyFont="1" applyFill="1" applyBorder="1" applyAlignment="1" applyProtection="1">
      <alignment vertical="center"/>
      <protection locked="0"/>
    </xf>
    <xf numFmtId="14" fontId="16" fillId="4" borderId="8" xfId="0" applyNumberFormat="1" applyFont="1" applyFill="1" applyBorder="1" applyAlignment="1" applyProtection="1">
      <alignment vertical="center"/>
      <protection locked="0"/>
    </xf>
    <xf numFmtId="42" fontId="16" fillId="4" borderId="8" xfId="4" applyFont="1" applyFill="1" applyBorder="1" applyAlignment="1" applyProtection="1">
      <alignment horizontal="right" vertical="center"/>
      <protection locked="0"/>
    </xf>
    <xf numFmtId="44" fontId="16" fillId="0" borderId="31" xfId="3" applyFont="1" applyFill="1" applyBorder="1" applyAlignment="1" applyProtection="1">
      <alignment vertical="center"/>
    </xf>
    <xf numFmtId="8" fontId="16" fillId="0" borderId="8" xfId="0" applyNumberFormat="1" applyFont="1" applyBorder="1" applyAlignment="1" applyProtection="1">
      <alignment horizontal="center" vertical="center"/>
    </xf>
    <xf numFmtId="10" fontId="16" fillId="0" borderId="31" xfId="0" applyNumberFormat="1" applyFont="1" applyBorder="1" applyAlignment="1" applyProtection="1">
      <alignment vertical="center"/>
    </xf>
    <xf numFmtId="164" fontId="16" fillId="0" borderId="0" xfId="0" applyNumberFormat="1" applyFont="1" applyAlignment="1" applyProtection="1">
      <alignment vertical="center"/>
    </xf>
    <xf numFmtId="171" fontId="21" fillId="0" borderId="44" xfId="0" applyFont="1" applyBorder="1" applyAlignment="1" applyProtection="1">
      <alignment horizontal="left" vertical="center"/>
    </xf>
    <xf numFmtId="171" fontId="21" fillId="0" borderId="45" xfId="0" applyFont="1" applyBorder="1" applyAlignment="1" applyProtection="1">
      <alignment horizontal="left" vertical="center"/>
    </xf>
    <xf numFmtId="171" fontId="16" fillId="0" borderId="28" xfId="0" applyFont="1" applyBorder="1" applyAlignment="1" applyProtection="1">
      <alignment vertical="center"/>
    </xf>
    <xf numFmtId="164" fontId="16" fillId="0" borderId="28" xfId="3" applyNumberFormat="1" applyFont="1" applyBorder="1" applyAlignment="1" applyProtection="1">
      <alignment vertical="center"/>
    </xf>
    <xf numFmtId="165" fontId="16" fillId="0" borderId="28" xfId="3" applyNumberFormat="1" applyFont="1" applyBorder="1" applyAlignment="1" applyProtection="1">
      <alignment vertical="center"/>
    </xf>
    <xf numFmtId="10" fontId="16" fillId="0" borderId="28" xfId="0" applyNumberFormat="1" applyFont="1" applyBorder="1" applyAlignment="1" applyProtection="1">
      <alignment vertical="center"/>
    </xf>
    <xf numFmtId="164" fontId="16" fillId="0" borderId="28" xfId="3" applyNumberFormat="1" applyFont="1" applyBorder="1" applyAlignment="1" applyProtection="1">
      <alignment horizontal="center" vertical="center"/>
    </xf>
    <xf numFmtId="164" fontId="16" fillId="0" borderId="10" xfId="3" applyNumberFormat="1" applyFont="1" applyBorder="1" applyAlignment="1" applyProtection="1">
      <alignment vertical="center"/>
    </xf>
    <xf numFmtId="171" fontId="24" fillId="0" borderId="28" xfId="0" applyFont="1" applyFill="1" applyBorder="1" applyAlignment="1" applyProtection="1">
      <alignment vertical="center"/>
    </xf>
    <xf numFmtId="171" fontId="16" fillId="0" borderId="41" xfId="0" applyFont="1" applyBorder="1" applyAlignment="1" applyProtection="1">
      <alignment vertical="center"/>
    </xf>
    <xf numFmtId="171" fontId="26" fillId="0" borderId="0" xfId="0" applyFont="1" applyAlignment="1" applyProtection="1">
      <alignment vertical="center"/>
    </xf>
    <xf numFmtId="171" fontId="26" fillId="0" borderId="0" xfId="0" applyFont="1" applyFill="1" applyAlignment="1" applyProtection="1">
      <alignment vertical="center"/>
    </xf>
    <xf numFmtId="165" fontId="16" fillId="0" borderId="0" xfId="3" applyNumberFormat="1" applyFont="1" applyFill="1" applyBorder="1" applyAlignment="1" applyProtection="1">
      <alignment vertical="center"/>
    </xf>
    <xf numFmtId="165" fontId="21" fillId="10" borderId="36" xfId="3" applyNumberFormat="1" applyFont="1" applyFill="1" applyBorder="1" applyAlignment="1" applyProtection="1">
      <alignment vertical="center"/>
    </xf>
    <xf numFmtId="171" fontId="16" fillId="0" borderId="47" xfId="0" applyFont="1" applyFill="1" applyBorder="1" applyAlignment="1" applyProtection="1">
      <alignment vertical="center"/>
    </xf>
    <xf numFmtId="171" fontId="16" fillId="0" borderId="58" xfId="0" applyFont="1" applyBorder="1" applyAlignment="1" applyProtection="1">
      <alignment vertical="center"/>
    </xf>
    <xf numFmtId="171" fontId="21" fillId="0" borderId="0" xfId="0" applyFont="1" applyFill="1" applyAlignment="1" applyProtection="1">
      <alignment vertical="center"/>
    </xf>
    <xf numFmtId="171" fontId="21" fillId="0" borderId="0" xfId="0" applyFont="1" applyAlignment="1" applyProtection="1">
      <alignment vertical="center"/>
    </xf>
    <xf numFmtId="9" fontId="25" fillId="4" borderId="2" xfId="8" applyFont="1" applyFill="1" applyBorder="1" applyAlignment="1" applyProtection="1">
      <alignment horizontal="center" vertical="center"/>
      <protection locked="0"/>
    </xf>
    <xf numFmtId="1" fontId="25" fillId="5" borderId="0" xfId="0" applyNumberFormat="1" applyFont="1" applyFill="1" applyBorder="1" applyAlignment="1" applyProtection="1">
      <alignment horizontal="center" vertical="center"/>
    </xf>
    <xf numFmtId="171" fontId="30" fillId="0" borderId="0" xfId="0" applyFont="1" applyAlignment="1" applyProtection="1">
      <alignment vertical="center"/>
    </xf>
    <xf numFmtId="171" fontId="25" fillId="0" borderId="0" xfId="0" applyFont="1" applyAlignment="1" applyProtection="1">
      <alignment vertical="center"/>
    </xf>
    <xf numFmtId="171" fontId="25" fillId="0" borderId="0" xfId="0" applyFont="1" applyAlignment="1" applyProtection="1">
      <alignment horizontal="left" vertical="center"/>
    </xf>
    <xf numFmtId="171" fontId="30" fillId="0" borderId="0" xfId="0" applyFont="1" applyFill="1" applyAlignment="1" applyProtection="1">
      <alignment vertical="center"/>
    </xf>
    <xf numFmtId="171" fontId="37" fillId="0" borderId="0" xfId="0" applyFont="1" applyFill="1" applyAlignment="1" applyProtection="1">
      <alignment horizontal="left" vertical="center"/>
    </xf>
    <xf numFmtId="171" fontId="37" fillId="0" borderId="0" xfId="0" applyFont="1" applyFill="1" applyAlignment="1" applyProtection="1">
      <alignment vertical="center"/>
    </xf>
    <xf numFmtId="171" fontId="38" fillId="0" borderId="0" xfId="0" applyFont="1" applyFill="1" applyAlignment="1" applyProtection="1">
      <alignment horizontal="center" vertical="center"/>
    </xf>
    <xf numFmtId="171" fontId="38" fillId="0" borderId="0" xfId="0" applyFont="1" applyFill="1" applyAlignment="1" applyProtection="1">
      <alignment vertical="center"/>
    </xf>
    <xf numFmtId="171" fontId="31" fillId="0" borderId="0" xfId="0" applyFont="1" applyAlignment="1" applyProtection="1">
      <alignment vertical="center"/>
    </xf>
    <xf numFmtId="171" fontId="31" fillId="0" borderId="0" xfId="0" applyFont="1" applyAlignment="1" applyProtection="1">
      <alignment horizontal="right" vertical="center"/>
    </xf>
    <xf numFmtId="171" fontId="34" fillId="0" borderId="0" xfId="0" applyFont="1" applyFill="1" applyAlignment="1" applyProtection="1">
      <alignment vertical="center"/>
    </xf>
    <xf numFmtId="168" fontId="30" fillId="0" borderId="0" xfId="1" applyNumberFormat="1" applyFont="1" applyAlignment="1" applyProtection="1">
      <alignment vertical="center"/>
    </xf>
    <xf numFmtId="171" fontId="38" fillId="12" borderId="0" xfId="0" applyFont="1" applyFill="1" applyAlignment="1" applyProtection="1">
      <alignment horizontal="right" vertical="center"/>
    </xf>
    <xf numFmtId="171" fontId="34" fillId="0" borderId="0" xfId="0" applyFont="1" applyFill="1" applyBorder="1" applyAlignment="1" applyProtection="1">
      <alignment vertical="center"/>
    </xf>
    <xf numFmtId="171" fontId="26" fillId="0" borderId="0" xfId="0" applyFont="1" applyAlignment="1" applyProtection="1">
      <alignment horizontal="right" vertical="center"/>
    </xf>
    <xf numFmtId="171" fontId="37" fillId="12" borderId="0" xfId="0" applyFont="1" applyFill="1" applyAlignment="1" applyProtection="1">
      <alignment vertical="center"/>
    </xf>
    <xf numFmtId="9" fontId="30" fillId="4" borderId="2" xfId="8" applyFont="1" applyFill="1" applyBorder="1" applyAlignment="1" applyProtection="1">
      <alignment horizontal="center" vertical="center"/>
      <protection locked="0"/>
    </xf>
    <xf numFmtId="171" fontId="32" fillId="12" borderId="0" xfId="0" applyFont="1" applyFill="1" applyAlignment="1" applyProtection="1">
      <alignment vertical="center"/>
    </xf>
    <xf numFmtId="9" fontId="26" fillId="0" borderId="0" xfId="0" applyNumberFormat="1" applyFont="1" applyAlignment="1" applyProtection="1">
      <alignment vertical="center"/>
    </xf>
    <xf numFmtId="171" fontId="39" fillId="0" borderId="0" xfId="0" applyFont="1" applyAlignment="1" applyProtection="1">
      <alignment vertical="center"/>
    </xf>
    <xf numFmtId="171" fontId="30" fillId="0" borderId="2" xfId="0" applyFont="1" applyBorder="1" applyAlignment="1" applyProtection="1">
      <alignment horizontal="center" vertical="center"/>
    </xf>
    <xf numFmtId="9" fontId="32" fillId="12" borderId="0" xfId="0" applyNumberFormat="1" applyFont="1" applyFill="1" applyAlignment="1" applyProtection="1">
      <alignment vertical="center"/>
    </xf>
    <xf numFmtId="171" fontId="31" fillId="0" borderId="17" xfId="0" applyFont="1" applyBorder="1" applyAlignment="1" applyProtection="1">
      <alignment vertical="center"/>
    </xf>
    <xf numFmtId="171" fontId="31" fillId="0" borderId="0" xfId="0" applyFont="1" applyBorder="1" applyAlignment="1" applyProtection="1">
      <alignment vertical="center"/>
    </xf>
    <xf numFmtId="9" fontId="35" fillId="0" borderId="0" xfId="8" applyFont="1" applyFill="1" applyAlignment="1" applyProtection="1">
      <alignment horizontal="left" vertical="center"/>
    </xf>
    <xf numFmtId="171" fontId="30" fillId="0" borderId="1" xfId="0" applyFont="1" applyBorder="1" applyAlignment="1" applyProtection="1">
      <alignment vertical="center"/>
    </xf>
    <xf numFmtId="171" fontId="30" fillId="0" borderId="9" xfId="0" applyFont="1" applyFill="1" applyBorder="1" applyAlignment="1" applyProtection="1">
      <alignment horizontal="left" vertical="center"/>
    </xf>
    <xf numFmtId="171" fontId="30" fillId="4" borderId="12" xfId="0" applyFont="1" applyFill="1" applyBorder="1" applyAlignment="1" applyProtection="1">
      <alignment vertical="center" wrapText="1"/>
      <protection locked="0"/>
    </xf>
    <xf numFmtId="5" fontId="30" fillId="4" borderId="2" xfId="47" applyNumberFormat="1" applyFont="1" applyFill="1" applyBorder="1" applyAlignment="1" applyProtection="1">
      <alignment vertical="center"/>
      <protection locked="0"/>
    </xf>
    <xf numFmtId="5" fontId="30" fillId="5" borderId="2" xfId="0" applyNumberFormat="1" applyFont="1" applyFill="1" applyBorder="1" applyAlignment="1" applyProtection="1">
      <alignment vertical="center"/>
    </xf>
    <xf numFmtId="171" fontId="36" fillId="0" borderId="0" xfId="0" applyFont="1" applyAlignment="1" applyProtection="1">
      <alignment vertical="center"/>
    </xf>
    <xf numFmtId="5" fontId="30" fillId="7" borderId="2" xfId="0" applyNumberFormat="1" applyFont="1" applyFill="1" applyBorder="1" applyAlignment="1" applyProtection="1">
      <alignment vertical="center"/>
      <protection locked="0"/>
    </xf>
    <xf numFmtId="166" fontId="30" fillId="0" borderId="0" xfId="0" applyNumberFormat="1" applyFont="1" applyAlignment="1" applyProtection="1">
      <alignment vertical="center"/>
    </xf>
    <xf numFmtId="5" fontId="30" fillId="4" borderId="2" xfId="0" applyNumberFormat="1" applyFont="1" applyFill="1" applyBorder="1" applyAlignment="1" applyProtection="1">
      <alignment vertical="center"/>
      <protection locked="0"/>
    </xf>
    <xf numFmtId="5" fontId="30" fillId="6" borderId="2" xfId="0" applyNumberFormat="1" applyFont="1" applyFill="1" applyBorder="1" applyAlignment="1" applyProtection="1">
      <alignment vertical="center"/>
    </xf>
    <xf numFmtId="5" fontId="30" fillId="0" borderId="0" xfId="0" applyNumberFormat="1" applyFont="1" applyAlignment="1" applyProtection="1">
      <alignment vertical="center"/>
    </xf>
    <xf numFmtId="171" fontId="40" fillId="12" borderId="0" xfId="0" applyFont="1" applyFill="1" applyAlignment="1" applyProtection="1">
      <alignment vertical="center"/>
    </xf>
    <xf numFmtId="10" fontId="30" fillId="0" borderId="0" xfId="8" applyNumberFormat="1" applyFont="1" applyFill="1" applyBorder="1" applyAlignment="1" applyProtection="1">
      <alignment vertical="center"/>
    </xf>
    <xf numFmtId="171" fontId="30" fillId="0" borderId="0" xfId="0" applyFont="1" applyFill="1" applyBorder="1" applyAlignment="1" applyProtection="1">
      <alignment vertical="center"/>
    </xf>
    <xf numFmtId="171" fontId="30" fillId="7" borderId="0" xfId="0" applyFont="1" applyFill="1" applyAlignment="1" applyProtection="1">
      <alignment vertical="center"/>
    </xf>
    <xf numFmtId="171" fontId="30" fillId="5" borderId="0" xfId="0" applyFont="1" applyFill="1" applyAlignment="1" applyProtection="1">
      <alignment vertical="center"/>
    </xf>
    <xf numFmtId="171" fontId="30" fillId="12" borderId="0" xfId="0" applyFont="1" applyFill="1" applyAlignment="1" applyProtection="1">
      <alignment vertical="center"/>
    </xf>
    <xf numFmtId="2" fontId="30" fillId="0" borderId="0" xfId="0" applyNumberFormat="1" applyFont="1" applyAlignment="1" applyProtection="1">
      <alignment horizontal="right" vertical="center"/>
    </xf>
    <xf numFmtId="164" fontId="16" fillId="0" borderId="0" xfId="0" applyNumberFormat="1" applyFont="1" applyAlignment="1" applyProtection="1"/>
    <xf numFmtId="171" fontId="16" fillId="0" borderId="0" xfId="0" applyFont="1" applyAlignment="1" applyProtection="1">
      <alignment horizontal="center" vertical="center"/>
    </xf>
    <xf numFmtId="171" fontId="16" fillId="0" borderId="0" xfId="0" applyFont="1" applyAlignment="1" applyProtection="1">
      <alignment horizontal="center" vertical="center" wrapText="1"/>
    </xf>
    <xf numFmtId="171" fontId="41" fillId="4" borderId="0" xfId="0" applyFont="1" applyFill="1" applyAlignment="1" applyProtection="1"/>
    <xf numFmtId="171" fontId="41" fillId="0" borderId="0" xfId="0" applyFont="1" applyFill="1" applyAlignment="1" applyProtection="1"/>
    <xf numFmtId="171" fontId="42" fillId="0" borderId="0" xfId="0" applyFont="1" applyAlignment="1" applyProtection="1"/>
    <xf numFmtId="171" fontId="42" fillId="7" borderId="0" xfId="0" applyFont="1" applyFill="1" applyAlignment="1" applyProtection="1"/>
    <xf numFmtId="171" fontId="42" fillId="0" borderId="0" xfId="0" applyFont="1" applyFill="1" applyAlignment="1" applyProtection="1"/>
    <xf numFmtId="171" fontId="43" fillId="0" borderId="0" xfId="0" applyFont="1" applyAlignment="1" applyProtection="1"/>
    <xf numFmtId="171" fontId="42" fillId="5" borderId="0" xfId="0" applyFont="1" applyFill="1" applyAlignment="1" applyProtection="1"/>
    <xf numFmtId="171" fontId="44" fillId="0" borderId="0" xfId="0" applyFont="1" applyAlignment="1" applyProtection="1"/>
    <xf numFmtId="171" fontId="44" fillId="0" borderId="0" xfId="0" applyFont="1" applyAlignment="1" applyProtection="1">
      <alignment horizontal="right"/>
    </xf>
    <xf numFmtId="171" fontId="46" fillId="0" borderId="0" xfId="0" applyFont="1" applyAlignment="1" applyProtection="1"/>
    <xf numFmtId="171" fontId="47" fillId="0" borderId="0" xfId="0" applyFont="1" applyFill="1" applyAlignment="1" applyProtection="1"/>
    <xf numFmtId="168" fontId="42" fillId="0" borderId="0" xfId="1" applyNumberFormat="1" applyFont="1" applyAlignment="1" applyProtection="1"/>
    <xf numFmtId="171" fontId="43" fillId="0" borderId="0" xfId="0" applyFont="1" applyFill="1" applyAlignment="1" applyProtection="1">
      <alignment horizontal="right"/>
    </xf>
    <xf numFmtId="171" fontId="47" fillId="0" borderId="0" xfId="0" applyFont="1" applyFill="1" applyBorder="1" applyAlignment="1" applyProtection="1"/>
    <xf numFmtId="171" fontId="41" fillId="0" borderId="0" xfId="0" applyFont="1" applyAlignment="1" applyProtection="1">
      <alignment horizontal="right"/>
    </xf>
    <xf numFmtId="9" fontId="45" fillId="4" borderId="7" xfId="8" applyFont="1" applyFill="1" applyBorder="1" applyAlignment="1" applyProtection="1">
      <alignment horizontal="center" vertical="center"/>
      <protection locked="0"/>
    </xf>
    <xf numFmtId="171" fontId="41" fillId="0" borderId="0" xfId="0" applyFont="1" applyAlignment="1" applyProtection="1"/>
    <xf numFmtId="9" fontId="45" fillId="4" borderId="2" xfId="8" applyFont="1" applyFill="1" applyBorder="1" applyAlignment="1" applyProtection="1">
      <alignment horizontal="center" vertical="center"/>
      <protection locked="0"/>
    </xf>
    <xf numFmtId="9" fontId="48" fillId="5" borderId="2" xfId="0" applyNumberFormat="1" applyFont="1" applyFill="1" applyBorder="1" applyAlignment="1" applyProtection="1">
      <alignment horizontal="center" vertical="center"/>
    </xf>
    <xf numFmtId="14" fontId="42" fillId="0" borderId="0" xfId="0" applyNumberFormat="1" applyFont="1" applyAlignment="1" applyProtection="1"/>
    <xf numFmtId="9" fontId="41" fillId="0" borderId="0" xfId="0" applyNumberFormat="1" applyFont="1" applyAlignment="1" applyProtection="1"/>
    <xf numFmtId="171" fontId="49" fillId="0" borderId="0" xfId="0" applyFont="1" applyAlignment="1" applyProtection="1"/>
    <xf numFmtId="171" fontId="48" fillId="0" borderId="0" xfId="0" applyFont="1" applyBorder="1" applyAlignment="1" applyProtection="1">
      <alignment horizontal="center"/>
    </xf>
    <xf numFmtId="171" fontId="48" fillId="0" borderId="2" xfId="0" applyFont="1" applyBorder="1" applyAlignment="1" applyProtection="1">
      <alignment horizontal="center"/>
    </xf>
    <xf numFmtId="171" fontId="48" fillId="0" borderId="7" xfId="0" applyFont="1" applyBorder="1" applyAlignment="1" applyProtection="1">
      <alignment horizontal="center"/>
    </xf>
    <xf numFmtId="171" fontId="45" fillId="0" borderId="4" xfId="0" applyFont="1" applyBorder="1" applyAlignment="1" applyProtection="1"/>
    <xf numFmtId="171" fontId="48" fillId="0" borderId="0" xfId="0" applyFont="1" applyFill="1" applyAlignment="1" applyProtection="1"/>
    <xf numFmtId="9" fontId="50" fillId="0" borderId="0" xfId="8" applyFont="1" applyFill="1" applyAlignment="1" applyProtection="1"/>
    <xf numFmtId="171" fontId="48" fillId="0" borderId="0" xfId="0" applyFont="1" applyAlignment="1" applyProtection="1"/>
    <xf numFmtId="171" fontId="48" fillId="0" borderId="20" xfId="0" applyFont="1" applyBorder="1" applyAlignment="1" applyProtection="1"/>
    <xf numFmtId="171" fontId="48" fillId="0" borderId="3" xfId="0" applyFont="1" applyBorder="1" applyAlignment="1" applyProtection="1"/>
    <xf numFmtId="5" fontId="48" fillId="5" borderId="14" xfId="0" applyNumberFormat="1" applyFont="1" applyFill="1" applyBorder="1" applyAlignment="1" applyProtection="1"/>
    <xf numFmtId="5" fontId="48" fillId="5" borderId="12" xfId="0" applyNumberFormat="1" applyFont="1" applyFill="1" applyBorder="1" applyAlignment="1" applyProtection="1"/>
    <xf numFmtId="171" fontId="48" fillId="0" borderId="9" xfId="0" applyFont="1" applyFill="1" applyBorder="1" applyAlignment="1" applyProtection="1"/>
    <xf numFmtId="5" fontId="48" fillId="4" borderId="2" xfId="0" applyNumberFormat="1" applyFont="1" applyFill="1" applyBorder="1" applyAlignment="1" applyProtection="1">
      <protection locked="0"/>
    </xf>
    <xf numFmtId="5" fontId="42" fillId="0" borderId="0" xfId="0" applyNumberFormat="1" applyFont="1" applyAlignment="1" applyProtection="1"/>
    <xf numFmtId="9" fontId="50" fillId="0" borderId="9" xfId="8" applyFont="1" applyFill="1" applyBorder="1" applyAlignment="1" applyProtection="1"/>
    <xf numFmtId="5" fontId="48" fillId="7" borderId="2" xfId="0" applyNumberFormat="1" applyFont="1" applyFill="1" applyBorder="1" applyAlignment="1" applyProtection="1">
      <protection locked="0"/>
    </xf>
    <xf numFmtId="171" fontId="48" fillId="0" borderId="9" xfId="0" applyFont="1" applyBorder="1" applyAlignment="1" applyProtection="1"/>
    <xf numFmtId="171" fontId="51" fillId="0" borderId="0" xfId="0" applyFont="1" applyAlignment="1" applyProtection="1"/>
    <xf numFmtId="171" fontId="48" fillId="0" borderId="2" xfId="0" applyFont="1" applyBorder="1" applyAlignment="1" applyProtection="1"/>
    <xf numFmtId="2" fontId="48" fillId="0" borderId="2" xfId="0" applyNumberFormat="1" applyFont="1" applyBorder="1" applyAlignment="1" applyProtection="1"/>
    <xf numFmtId="5" fontId="48" fillId="5" borderId="3" xfId="0" applyNumberFormat="1" applyFont="1" applyFill="1" applyBorder="1" applyAlignment="1" applyProtection="1"/>
    <xf numFmtId="5" fontId="48" fillId="5" borderId="2" xfId="0" applyNumberFormat="1" applyFont="1" applyFill="1" applyBorder="1" applyAlignment="1" applyProtection="1"/>
    <xf numFmtId="171" fontId="48" fillId="0" borderId="7" xfId="0" applyFont="1" applyBorder="1" applyAlignment="1" applyProtection="1"/>
    <xf numFmtId="5" fontId="48" fillId="5" borderId="7" xfId="0" applyNumberFormat="1" applyFont="1" applyFill="1" applyBorder="1" applyAlignment="1" applyProtection="1"/>
    <xf numFmtId="166" fontId="48" fillId="0" borderId="0" xfId="0" applyNumberFormat="1" applyFont="1" applyAlignment="1" applyProtection="1"/>
    <xf numFmtId="169" fontId="48" fillId="0" borderId="4" xfId="8" applyNumberFormat="1" applyFont="1" applyFill="1" applyBorder="1" applyAlignment="1" applyProtection="1">
      <alignment horizontal="right"/>
    </xf>
    <xf numFmtId="169" fontId="45" fillId="0" borderId="14" xfId="8" applyNumberFormat="1" applyFont="1" applyFill="1" applyBorder="1" applyAlignment="1" applyProtection="1">
      <alignment horizontal="right"/>
    </xf>
    <xf numFmtId="7" fontId="48" fillId="0" borderId="3" xfId="0" applyNumberFormat="1" applyFont="1" applyBorder="1" applyAlignment="1" applyProtection="1"/>
    <xf numFmtId="7" fontId="48" fillId="0" borderId="2" xfId="0" applyNumberFormat="1" applyFont="1" applyBorder="1" applyAlignment="1" applyProtection="1"/>
    <xf numFmtId="171" fontId="51" fillId="0" borderId="0" xfId="0" applyFont="1" applyFill="1" applyAlignment="1" applyProtection="1"/>
    <xf numFmtId="171" fontId="52" fillId="0" borderId="0" xfId="0" applyFont="1" applyAlignment="1" applyProtection="1"/>
    <xf numFmtId="5" fontId="48" fillId="6" borderId="7" xfId="0" applyNumberFormat="1" applyFont="1" applyFill="1" applyBorder="1" applyAlignment="1" applyProtection="1"/>
    <xf numFmtId="9" fontId="48" fillId="4" borderId="38" xfId="8" applyNumberFormat="1" applyFont="1" applyFill="1" applyBorder="1" applyAlignment="1" applyProtection="1">
      <alignment horizontal="left" indent="1"/>
      <protection locked="0"/>
    </xf>
    <xf numFmtId="5" fontId="48" fillId="4" borderId="3" xfId="0" applyNumberFormat="1" applyFont="1" applyFill="1" applyBorder="1" applyAlignment="1" applyProtection="1">
      <protection locked="0"/>
    </xf>
    <xf numFmtId="1" fontId="51" fillId="0" borderId="0" xfId="0" applyNumberFormat="1" applyFont="1" applyAlignment="1" applyProtection="1">
      <alignment horizontal="center"/>
    </xf>
    <xf numFmtId="171" fontId="42" fillId="0" borderId="0" xfId="0" applyFont="1" applyAlignment="1" applyProtection="1">
      <alignment horizontal="center"/>
    </xf>
    <xf numFmtId="7" fontId="42" fillId="0" borderId="0" xfId="0" applyNumberFormat="1" applyFont="1" applyAlignment="1" applyProtection="1"/>
    <xf numFmtId="10" fontId="48" fillId="5" borderId="2" xfId="8" applyNumberFormat="1" applyFont="1" applyFill="1" applyBorder="1" applyAlignment="1" applyProtection="1"/>
    <xf numFmtId="10" fontId="42" fillId="0" borderId="0" xfId="8" applyNumberFormat="1" applyFont="1" applyAlignment="1" applyProtection="1"/>
    <xf numFmtId="5" fontId="42" fillId="0" borderId="0" xfId="0" applyNumberFormat="1" applyFont="1" applyFill="1" applyAlignment="1" applyProtection="1"/>
    <xf numFmtId="165" fontId="42" fillId="0" borderId="0" xfId="0" applyNumberFormat="1" applyFont="1" applyFill="1" applyAlignment="1" applyProtection="1"/>
    <xf numFmtId="165" fontId="42" fillId="0" borderId="0" xfId="0" applyNumberFormat="1" applyFont="1" applyAlignment="1" applyProtection="1"/>
    <xf numFmtId="171" fontId="54" fillId="0" borderId="0" xfId="0" applyFont="1" applyFill="1" applyAlignment="1" applyProtection="1"/>
    <xf numFmtId="171" fontId="46" fillId="0" borderId="0" xfId="0" applyFont="1" applyFill="1" applyBorder="1" applyAlignment="1" applyProtection="1"/>
    <xf numFmtId="9" fontId="53" fillId="12" borderId="0" xfId="0" applyNumberFormat="1" applyFont="1" applyFill="1" applyAlignment="1" applyProtection="1"/>
    <xf numFmtId="171" fontId="55" fillId="0" borderId="2" xfId="0" applyFont="1" applyBorder="1"/>
    <xf numFmtId="171" fontId="55" fillId="12" borderId="2" xfId="0" applyFont="1" applyFill="1" applyBorder="1"/>
    <xf numFmtId="171" fontId="56" fillId="12" borderId="2" xfId="0" applyFont="1" applyFill="1" applyBorder="1"/>
    <xf numFmtId="171" fontId="55" fillId="0" borderId="0" xfId="0" applyFont="1"/>
    <xf numFmtId="171" fontId="55" fillId="13" borderId="2" xfId="0" applyFont="1" applyFill="1" applyBorder="1"/>
    <xf numFmtId="171" fontId="55" fillId="23" borderId="0" xfId="0" applyFont="1" applyFill="1"/>
    <xf numFmtId="2" fontId="55" fillId="0" borderId="2" xfId="0" applyNumberFormat="1" applyFont="1" applyBorder="1"/>
    <xf numFmtId="169" fontId="55" fillId="0" borderId="2" xfId="0" applyNumberFormat="1" applyFont="1" applyBorder="1"/>
    <xf numFmtId="173" fontId="55" fillId="0" borderId="2" xfId="0" applyNumberFormat="1" applyFont="1" applyBorder="1"/>
    <xf numFmtId="171" fontId="55" fillId="0" borderId="2" xfId="0" applyNumberFormat="1" applyFont="1" applyBorder="1" applyAlignment="1">
      <alignment horizontal="center"/>
    </xf>
    <xf numFmtId="171" fontId="55" fillId="14" borderId="2" xfId="0" applyFont="1" applyFill="1" applyBorder="1" applyAlignment="1">
      <alignment vertical="top"/>
    </xf>
    <xf numFmtId="6" fontId="55" fillId="13" borderId="2" xfId="0" applyNumberFormat="1" applyFont="1" applyFill="1" applyBorder="1" applyAlignment="1">
      <alignment vertical="top"/>
    </xf>
    <xf numFmtId="171" fontId="55" fillId="14" borderId="2" xfId="0" applyFont="1" applyFill="1" applyBorder="1"/>
    <xf numFmtId="171" fontId="55" fillId="13" borderId="0" xfId="0" applyFont="1" applyFill="1"/>
    <xf numFmtId="174" fontId="55" fillId="14" borderId="2" xfId="0" applyNumberFormat="1" applyFont="1" applyFill="1" applyBorder="1" applyAlignment="1">
      <alignment vertical="top"/>
    </xf>
    <xf numFmtId="167" fontId="55" fillId="14" borderId="2" xfId="0" applyNumberFormat="1" applyFont="1" applyFill="1" applyBorder="1" applyAlignment="1">
      <alignment vertical="top"/>
    </xf>
    <xf numFmtId="171" fontId="55" fillId="14" borderId="2" xfId="0" applyNumberFormat="1" applyFont="1" applyFill="1" applyBorder="1" applyAlignment="1">
      <alignment horizontal="center" vertical="top"/>
    </xf>
    <xf numFmtId="171" fontId="55" fillId="24" borderId="0" xfId="0" applyFont="1" applyFill="1"/>
    <xf numFmtId="171" fontId="55" fillId="0" borderId="2" xfId="0" applyFont="1" applyBorder="1" applyAlignment="1">
      <alignment horizontal="center"/>
    </xf>
    <xf numFmtId="174" fontId="55" fillId="14" borderId="2" xfId="0" applyNumberFormat="1" applyFont="1" applyFill="1" applyBorder="1" applyAlignment="1">
      <alignment horizontal="right" vertical="top"/>
    </xf>
    <xf numFmtId="171" fontId="55" fillId="14" borderId="2" xfId="0" applyNumberFormat="1" applyFont="1" applyFill="1" applyBorder="1" applyAlignment="1">
      <alignment vertical="top"/>
    </xf>
    <xf numFmtId="1" fontId="55" fillId="0" borderId="2" xfId="0" applyNumberFormat="1" applyFont="1" applyBorder="1"/>
    <xf numFmtId="171" fontId="55" fillId="0" borderId="2" xfId="0" applyFont="1" applyFill="1" applyBorder="1"/>
    <xf numFmtId="1" fontId="55" fillId="0" borderId="2" xfId="0" applyNumberFormat="1" applyFont="1" applyBorder="1" applyAlignment="1">
      <alignment horizontal="center"/>
    </xf>
    <xf numFmtId="172" fontId="55" fillId="14" borderId="2" xfId="0" applyNumberFormat="1" applyFont="1" applyFill="1" applyBorder="1" applyAlignment="1">
      <alignment vertical="top"/>
    </xf>
    <xf numFmtId="171" fontId="55" fillId="0" borderId="2" xfId="0" applyNumberFormat="1" applyFont="1" applyBorder="1"/>
    <xf numFmtId="171" fontId="56" fillId="15" borderId="2" xfId="0" applyFont="1" applyFill="1" applyBorder="1"/>
    <xf numFmtId="171" fontId="55" fillId="26" borderId="0" xfId="0" applyFont="1" applyFill="1"/>
    <xf numFmtId="171" fontId="56" fillId="13" borderId="2" xfId="0" applyNumberFormat="1" applyFont="1" applyFill="1" applyBorder="1"/>
    <xf numFmtId="171" fontId="55" fillId="28" borderId="0" xfId="0" applyFont="1" applyFill="1"/>
    <xf numFmtId="2" fontId="56" fillId="15" borderId="2" xfId="0" applyNumberFormat="1" applyFont="1" applyFill="1" applyBorder="1"/>
    <xf numFmtId="169" fontId="56" fillId="15" borderId="2" xfId="0" applyNumberFormat="1" applyFont="1" applyFill="1" applyBorder="1"/>
    <xf numFmtId="1" fontId="56" fillId="15" borderId="2" xfId="0" applyNumberFormat="1" applyFont="1" applyFill="1" applyBorder="1"/>
    <xf numFmtId="171" fontId="55" fillId="29" borderId="0" xfId="0" applyFont="1" applyFill="1"/>
    <xf numFmtId="171" fontId="56" fillId="16" borderId="2" xfId="0" applyFont="1" applyFill="1" applyBorder="1" applyAlignment="1">
      <alignment vertical="top"/>
    </xf>
    <xf numFmtId="171" fontId="56" fillId="16" borderId="2" xfId="0" applyFont="1" applyFill="1" applyBorder="1"/>
    <xf numFmtId="171" fontId="55" fillId="27" borderId="0" xfId="0" applyFont="1" applyFill="1"/>
    <xf numFmtId="172" fontId="56" fillId="16" borderId="2" xfId="0" applyNumberFormat="1" applyFont="1" applyFill="1" applyBorder="1" applyAlignment="1">
      <alignment vertical="top"/>
    </xf>
    <xf numFmtId="42" fontId="56" fillId="16" borderId="2" xfId="0" applyNumberFormat="1" applyFont="1" applyFill="1" applyBorder="1" applyAlignment="1">
      <alignment vertical="top"/>
    </xf>
    <xf numFmtId="171" fontId="56" fillId="16" borderId="2" xfId="0" applyNumberFormat="1" applyFont="1" applyFill="1" applyBorder="1" applyAlignment="1">
      <alignment vertical="top"/>
    </xf>
    <xf numFmtId="171" fontId="55" fillId="9" borderId="0" xfId="0" applyFont="1" applyFill="1"/>
    <xf numFmtId="171" fontId="56" fillId="13" borderId="2" xfId="0" applyFont="1" applyFill="1" applyBorder="1"/>
    <xf numFmtId="171" fontId="55" fillId="0" borderId="2" xfId="0" applyFont="1" applyFill="1" applyBorder="1" applyAlignment="1">
      <alignment horizontal="center"/>
    </xf>
    <xf numFmtId="171" fontId="56" fillId="0" borderId="2" xfId="0" applyFont="1" applyBorder="1"/>
    <xf numFmtId="171" fontId="56" fillId="0" borderId="2" xfId="0" applyFont="1" applyFill="1" applyBorder="1"/>
    <xf numFmtId="44" fontId="55" fillId="0" borderId="2" xfId="0" applyNumberFormat="1" applyFont="1" applyBorder="1"/>
    <xf numFmtId="44" fontId="55" fillId="0" borderId="2" xfId="0" applyNumberFormat="1" applyFont="1" applyFill="1" applyBorder="1"/>
    <xf numFmtId="171" fontId="56" fillId="17" borderId="2" xfId="0" applyFont="1" applyFill="1" applyBorder="1"/>
    <xf numFmtId="3" fontId="55" fillId="0" borderId="2" xfId="0" applyNumberFormat="1" applyFont="1" applyBorder="1"/>
    <xf numFmtId="6" fontId="55" fillId="0" borderId="2" xfId="0" applyNumberFormat="1" applyFont="1" applyBorder="1"/>
    <xf numFmtId="4" fontId="55" fillId="0" borderId="2" xfId="0" applyNumberFormat="1" applyFont="1" applyBorder="1"/>
    <xf numFmtId="5" fontId="56" fillId="0" borderId="2" xfId="0" applyNumberFormat="1" applyFont="1" applyFill="1" applyBorder="1"/>
    <xf numFmtId="10" fontId="55" fillId="0" borderId="2" xfId="0" applyNumberFormat="1" applyFont="1" applyFill="1" applyBorder="1"/>
    <xf numFmtId="10" fontId="55" fillId="0" borderId="2" xfId="0" applyNumberFormat="1" applyFont="1" applyBorder="1"/>
    <xf numFmtId="10" fontId="55" fillId="0" borderId="2" xfId="8" applyNumberFormat="1" applyFont="1" applyBorder="1"/>
    <xf numFmtId="171" fontId="55" fillId="25" borderId="0" xfId="0" applyFont="1" applyFill="1"/>
    <xf numFmtId="171" fontId="55" fillId="10" borderId="2" xfId="0" applyFont="1" applyFill="1" applyBorder="1"/>
    <xf numFmtId="5" fontId="55" fillId="0" borderId="2" xfId="0" applyNumberFormat="1" applyFont="1" applyBorder="1"/>
    <xf numFmtId="39" fontId="55" fillId="0" borderId="2" xfId="0" applyNumberFormat="1" applyFont="1" applyBorder="1"/>
    <xf numFmtId="171" fontId="56" fillId="25" borderId="0" xfId="0" applyFont="1" applyFill="1"/>
    <xf numFmtId="171" fontId="55" fillId="22" borderId="2" xfId="0" applyFont="1" applyFill="1" applyBorder="1"/>
    <xf numFmtId="171" fontId="56" fillId="22" borderId="2" xfId="0" applyFont="1" applyFill="1" applyBorder="1"/>
    <xf numFmtId="171" fontId="56" fillId="14" borderId="2" xfId="0" applyFont="1" applyFill="1" applyBorder="1"/>
    <xf numFmtId="171" fontId="55" fillId="0" borderId="2" xfId="0" applyNumberFormat="1" applyFont="1" applyFill="1" applyBorder="1"/>
    <xf numFmtId="171" fontId="56" fillId="18" borderId="2" xfId="0" applyFont="1" applyFill="1" applyBorder="1"/>
    <xf numFmtId="42" fontId="55" fillId="0" borderId="2" xfId="0" applyNumberFormat="1" applyFont="1" applyFill="1" applyBorder="1"/>
    <xf numFmtId="3" fontId="55" fillId="0" borderId="2" xfId="0" applyNumberFormat="1" applyFont="1" applyFill="1" applyBorder="1"/>
    <xf numFmtId="44" fontId="55" fillId="11" borderId="2" xfId="0" applyNumberFormat="1" applyFont="1" applyFill="1" applyBorder="1"/>
    <xf numFmtId="2" fontId="55" fillId="0" borderId="2" xfId="0" applyNumberFormat="1" applyFont="1" applyFill="1" applyBorder="1"/>
    <xf numFmtId="10" fontId="55" fillId="0" borderId="2" xfId="3" applyNumberFormat="1" applyFont="1" applyFill="1" applyBorder="1"/>
    <xf numFmtId="171" fontId="55" fillId="0" borderId="2" xfId="3" applyNumberFormat="1" applyFont="1" applyFill="1" applyBorder="1"/>
    <xf numFmtId="6" fontId="55" fillId="0" borderId="2" xfId="0" applyNumberFormat="1" applyFont="1" applyFill="1" applyBorder="1"/>
    <xf numFmtId="44" fontId="55" fillId="0" borderId="2" xfId="1" applyNumberFormat="1" applyFont="1" applyBorder="1"/>
    <xf numFmtId="2" fontId="55" fillId="0" borderId="2" xfId="3" applyNumberFormat="1" applyFont="1" applyBorder="1"/>
    <xf numFmtId="171" fontId="57" fillId="12" borderId="2" xfId="0" applyFont="1" applyFill="1" applyBorder="1"/>
    <xf numFmtId="8" fontId="55" fillId="0" borderId="2" xfId="0" applyNumberFormat="1" applyFont="1" applyBorder="1"/>
    <xf numFmtId="171" fontId="55" fillId="11" borderId="2" xfId="0" applyNumberFormat="1" applyFont="1" applyFill="1" applyBorder="1"/>
    <xf numFmtId="171" fontId="55" fillId="11" borderId="2" xfId="0" applyFont="1" applyFill="1" applyBorder="1"/>
    <xf numFmtId="171" fontId="56" fillId="0" borderId="2" xfId="0" applyFont="1" applyBorder="1" applyAlignment="1">
      <alignment vertical="top"/>
    </xf>
    <xf numFmtId="42" fontId="55" fillId="0" borderId="2" xfId="0" applyNumberFormat="1" applyFont="1" applyBorder="1"/>
    <xf numFmtId="171" fontId="55" fillId="0" borderId="9" xfId="0" applyFont="1" applyBorder="1"/>
    <xf numFmtId="171" fontId="56" fillId="12" borderId="2" xfId="0" applyFont="1" applyFill="1" applyBorder="1" applyProtection="1"/>
    <xf numFmtId="10" fontId="58" fillId="12" borderId="2" xfId="8" applyNumberFormat="1" applyFont="1" applyFill="1" applyBorder="1" applyAlignment="1" applyProtection="1">
      <alignment horizontal="left" vertical="center"/>
    </xf>
    <xf numFmtId="171" fontId="56" fillId="12" borderId="2" xfId="0" applyFont="1" applyFill="1" applyBorder="1" applyAlignment="1" applyProtection="1">
      <alignment vertical="center" wrapText="1"/>
    </xf>
    <xf numFmtId="9" fontId="56" fillId="12" borderId="47" xfId="0" applyNumberFormat="1" applyFont="1" applyFill="1" applyBorder="1" applyAlignment="1" applyProtection="1">
      <alignment horizontal="left"/>
    </xf>
    <xf numFmtId="9" fontId="56" fillId="12" borderId="20" xfId="0" applyNumberFormat="1" applyFont="1" applyFill="1" applyBorder="1" applyAlignment="1" applyProtection="1">
      <alignment horizontal="left"/>
    </xf>
    <xf numFmtId="171" fontId="56" fillId="0" borderId="2" xfId="0" applyNumberFormat="1" applyFont="1" applyBorder="1" applyAlignment="1">
      <alignment horizontal="left"/>
    </xf>
    <xf numFmtId="44" fontId="55" fillId="0" borderId="0" xfId="0" applyNumberFormat="1" applyFont="1"/>
    <xf numFmtId="171" fontId="60" fillId="0" borderId="0" xfId="0" applyFont="1" applyProtection="1"/>
    <xf numFmtId="165" fontId="60" fillId="0" borderId="0" xfId="0" applyNumberFormat="1" applyFont="1" applyAlignment="1" applyProtection="1">
      <alignment horizontal="center"/>
    </xf>
    <xf numFmtId="164" fontId="60" fillId="0" borderId="0" xfId="0" applyNumberFormat="1" applyFont="1" applyProtection="1"/>
    <xf numFmtId="171" fontId="60" fillId="0" borderId="0" xfId="0" applyFont="1" applyFill="1" applyProtection="1"/>
    <xf numFmtId="164" fontId="61" fillId="0" borderId="0" xfId="0" applyNumberFormat="1" applyFont="1" applyAlignment="1" applyProtection="1">
      <alignment horizontal="center" wrapText="1"/>
    </xf>
    <xf numFmtId="164" fontId="61" fillId="0" borderId="0" xfId="0" applyNumberFormat="1" applyFont="1" applyBorder="1" applyAlignment="1" applyProtection="1">
      <alignment horizontal="center"/>
    </xf>
    <xf numFmtId="164" fontId="60" fillId="0" borderId="0" xfId="0" applyNumberFormat="1" applyFont="1" applyBorder="1" applyProtection="1"/>
    <xf numFmtId="165" fontId="60" fillId="0" borderId="40" xfId="0" applyNumberFormat="1" applyFont="1" applyBorder="1" applyAlignment="1" applyProtection="1">
      <alignment horizontal="center"/>
    </xf>
    <xf numFmtId="164" fontId="60" fillId="4" borderId="9" xfId="3" applyNumberFormat="1" applyFont="1" applyFill="1" applyBorder="1" applyAlignment="1" applyProtection="1">
      <alignment horizontal="right"/>
      <protection locked="0"/>
    </xf>
    <xf numFmtId="164" fontId="60" fillId="12" borderId="2" xfId="0" applyNumberFormat="1" applyFont="1" applyFill="1" applyBorder="1" applyProtection="1"/>
    <xf numFmtId="164" fontId="60" fillId="12" borderId="0" xfId="0" applyNumberFormat="1" applyFont="1" applyFill="1" applyBorder="1" applyProtection="1"/>
    <xf numFmtId="165" fontId="60" fillId="0" borderId="39" xfId="0" applyNumberFormat="1" applyFont="1" applyBorder="1" applyAlignment="1" applyProtection="1">
      <alignment horizontal="center"/>
    </xf>
    <xf numFmtId="3" fontId="60" fillId="0" borderId="7" xfId="3" applyNumberFormat="1" applyFont="1" applyFill="1" applyBorder="1" applyAlignment="1" applyProtection="1">
      <alignment horizontal="left"/>
    </xf>
    <xf numFmtId="3" fontId="60" fillId="4" borderId="7" xfId="3" applyNumberFormat="1" applyFont="1" applyFill="1" applyBorder="1" applyAlignment="1" applyProtection="1">
      <alignment horizontal="left" wrapText="1"/>
      <protection locked="0"/>
    </xf>
    <xf numFmtId="164" fontId="60" fillId="4" borderId="22" xfId="3" applyNumberFormat="1" applyFont="1" applyFill="1" applyBorder="1" applyAlignment="1" applyProtection="1">
      <alignment horizontal="right"/>
      <protection locked="0"/>
    </xf>
    <xf numFmtId="164" fontId="61" fillId="0" borderId="34" xfId="3" applyNumberFormat="1" applyFont="1" applyBorder="1" applyProtection="1"/>
    <xf numFmtId="164" fontId="60" fillId="12" borderId="38" xfId="0" applyNumberFormat="1" applyFont="1" applyFill="1" applyBorder="1" applyProtection="1"/>
    <xf numFmtId="165" fontId="60" fillId="0" borderId="38" xfId="0" applyNumberFormat="1" applyFont="1" applyBorder="1" applyAlignment="1" applyProtection="1">
      <alignment horizontal="center"/>
    </xf>
    <xf numFmtId="171" fontId="60" fillId="0" borderId="0" xfId="0" applyFont="1" applyFill="1" applyBorder="1" applyAlignment="1" applyProtection="1">
      <alignment horizontal="center"/>
    </xf>
    <xf numFmtId="164" fontId="60" fillId="0" borderId="0" xfId="3" applyNumberFormat="1" applyFont="1" applyBorder="1" applyProtection="1"/>
    <xf numFmtId="164" fontId="60" fillId="12" borderId="4" xfId="0" applyNumberFormat="1" applyFont="1" applyFill="1" applyBorder="1" applyProtection="1"/>
    <xf numFmtId="164" fontId="61" fillId="0" borderId="59" xfId="3" applyNumberFormat="1" applyFont="1" applyBorder="1" applyProtection="1"/>
    <xf numFmtId="164" fontId="60" fillId="12" borderId="0" xfId="0" applyNumberFormat="1" applyFont="1" applyFill="1" applyProtection="1"/>
    <xf numFmtId="9" fontId="60" fillId="0" borderId="0" xfId="0" applyNumberFormat="1" applyFont="1" applyProtection="1"/>
    <xf numFmtId="10" fontId="60" fillId="0" borderId="0" xfId="0" applyNumberFormat="1" applyFont="1" applyProtection="1"/>
    <xf numFmtId="171" fontId="61" fillId="0" borderId="0" xfId="0" applyFont="1" applyFill="1" applyBorder="1" applyAlignment="1" applyProtection="1">
      <alignment horizontal="left"/>
    </xf>
    <xf numFmtId="164" fontId="61" fillId="0" borderId="0" xfId="3" applyNumberFormat="1" applyFont="1" applyBorder="1" applyProtection="1"/>
    <xf numFmtId="164" fontId="60" fillId="0" borderId="0" xfId="3" applyNumberFormat="1" applyFont="1" applyProtection="1"/>
    <xf numFmtId="171" fontId="60" fillId="12" borderId="22" xfId="0" applyFont="1" applyFill="1" applyBorder="1" applyAlignment="1" applyProtection="1">
      <alignment horizontal="left"/>
    </xf>
    <xf numFmtId="171" fontId="60" fillId="0" borderId="13" xfId="0" applyFont="1" applyFill="1" applyBorder="1" applyAlignment="1" applyProtection="1">
      <alignment horizontal="left"/>
    </xf>
    <xf numFmtId="164" fontId="63" fillId="0" borderId="0" xfId="0" applyNumberFormat="1" applyFont="1" applyProtection="1"/>
    <xf numFmtId="171" fontId="61" fillId="0" borderId="23" xfId="0" applyFont="1" applyFill="1" applyBorder="1" applyProtection="1"/>
    <xf numFmtId="171" fontId="61" fillId="0" borderId="35" xfId="0" applyFont="1" applyBorder="1" applyProtection="1"/>
    <xf numFmtId="164" fontId="61" fillId="0" borderId="38" xfId="3" applyNumberFormat="1" applyFont="1" applyBorder="1" applyProtection="1"/>
    <xf numFmtId="164" fontId="61" fillId="9" borderId="35" xfId="3" applyNumberFormat="1" applyFont="1" applyFill="1" applyBorder="1" applyProtection="1"/>
    <xf numFmtId="171" fontId="61" fillId="0" borderId="0" xfId="0" applyFont="1" applyFill="1" applyBorder="1" applyProtection="1"/>
    <xf numFmtId="171" fontId="61" fillId="0" borderId="0" xfId="0" applyFont="1" applyBorder="1" applyProtection="1"/>
    <xf numFmtId="164" fontId="61" fillId="9" borderId="38" xfId="3" applyNumberFormat="1" applyFont="1" applyFill="1" applyBorder="1" applyProtection="1"/>
    <xf numFmtId="171" fontId="59" fillId="0" borderId="0" xfId="0" applyFont="1" applyFill="1" applyProtection="1"/>
    <xf numFmtId="171" fontId="59" fillId="0" borderId="0" xfId="0" applyFont="1" applyProtection="1"/>
    <xf numFmtId="171" fontId="62" fillId="0" borderId="0" xfId="0" applyFont="1" applyProtection="1"/>
    <xf numFmtId="164" fontId="60" fillId="0" borderId="0" xfId="0" applyNumberFormat="1" applyFont="1" applyFill="1" applyBorder="1" applyProtection="1"/>
    <xf numFmtId="171" fontId="61" fillId="0" borderId="0" xfId="0" applyFont="1" applyFill="1" applyBorder="1" applyAlignment="1" applyProtection="1"/>
    <xf numFmtId="14" fontId="60" fillId="0" borderId="0" xfId="0" applyNumberFormat="1" applyFont="1" applyProtection="1"/>
    <xf numFmtId="171" fontId="64" fillId="0" borderId="0" xfId="0" applyNumberFormat="1" applyFont="1" applyFill="1" applyAlignment="1" applyProtection="1">
      <alignment horizontal="center"/>
    </xf>
    <xf numFmtId="171" fontId="64" fillId="0" borderId="0" xfId="0" applyFont="1" applyFill="1" applyProtection="1"/>
    <xf numFmtId="49" fontId="65" fillId="0" borderId="0" xfId="2" applyNumberFormat="1" applyFont="1" applyAlignment="1" applyProtection="1">
      <alignment horizontal="center" wrapText="1"/>
    </xf>
    <xf numFmtId="5" fontId="66" fillId="0" borderId="0" xfId="99" applyNumberFormat="1" applyFont="1" applyAlignment="1" applyProtection="1">
      <alignment horizontal="center"/>
    </xf>
    <xf numFmtId="171" fontId="67" fillId="0" borderId="0" xfId="0" applyFont="1" applyAlignment="1" applyProtection="1">
      <alignment vertical="center"/>
    </xf>
    <xf numFmtId="171" fontId="67" fillId="0" borderId="0" xfId="0" applyFont="1"/>
    <xf numFmtId="171" fontId="67" fillId="0" borderId="0" xfId="0" applyFont="1" applyAlignment="1" applyProtection="1">
      <alignment horizontal="centerContinuous" vertical="center"/>
    </xf>
    <xf numFmtId="171" fontId="67" fillId="0" borderId="0" xfId="0" applyFont="1" applyAlignment="1" applyProtection="1">
      <alignment horizontal="right" vertical="center"/>
    </xf>
    <xf numFmtId="171" fontId="67" fillId="0" borderId="0" xfId="0" quotePrefix="1" applyFont="1" applyAlignment="1" applyProtection="1">
      <alignment horizontal="left" vertical="center" wrapText="1"/>
    </xf>
    <xf numFmtId="171" fontId="68" fillId="0" borderId="0" xfId="0" applyFont="1" applyFill="1" applyAlignment="1" applyProtection="1">
      <alignment horizontal="right" vertical="center"/>
    </xf>
    <xf numFmtId="171" fontId="69" fillId="0" borderId="0" xfId="0" applyFont="1" applyAlignment="1" applyProtection="1"/>
    <xf numFmtId="171" fontId="68" fillId="0" borderId="0" xfId="0" applyFont="1" applyAlignment="1" applyProtection="1">
      <alignment horizontal="right" vertical="center"/>
    </xf>
    <xf numFmtId="171" fontId="71" fillId="0" borderId="0" xfId="0" applyFont="1" applyAlignment="1" applyProtection="1">
      <alignment horizontal="left" vertical="center"/>
    </xf>
    <xf numFmtId="5" fontId="67" fillId="2" borderId="0" xfId="3" applyNumberFormat="1" applyFont="1" applyFill="1" applyAlignment="1" applyProtection="1">
      <alignment horizontal="right" vertical="center"/>
    </xf>
    <xf numFmtId="9" fontId="67" fillId="0" borderId="0" xfId="8" applyFont="1" applyAlignment="1" applyProtection="1">
      <alignment horizontal="right" vertical="center"/>
    </xf>
    <xf numFmtId="171" fontId="71" fillId="0" borderId="0" xfId="0" applyFont="1" applyFill="1" applyAlignment="1" applyProtection="1">
      <alignment horizontal="left" vertical="center"/>
    </xf>
    <xf numFmtId="165" fontId="67" fillId="3" borderId="0" xfId="3" applyNumberFormat="1" applyFont="1" applyFill="1" applyAlignment="1" applyProtection="1">
      <alignment horizontal="right" vertical="center"/>
    </xf>
    <xf numFmtId="171" fontId="71" fillId="3" borderId="0" xfId="0" applyFont="1" applyFill="1" applyAlignment="1" applyProtection="1">
      <alignment horizontal="left" vertical="center"/>
    </xf>
    <xf numFmtId="10" fontId="67" fillId="2" borderId="0" xfId="3" applyNumberFormat="1" applyFont="1" applyFill="1" applyAlignment="1" applyProtection="1">
      <alignment horizontal="right" vertical="center"/>
    </xf>
    <xf numFmtId="171" fontId="67" fillId="0" borderId="0" xfId="0" applyFont="1" applyAlignment="1" applyProtection="1">
      <alignment horizontal="left" vertical="center"/>
    </xf>
    <xf numFmtId="10" fontId="67" fillId="0" borderId="0" xfId="0" applyNumberFormat="1" applyFont="1" applyAlignment="1" applyProtection="1">
      <alignment vertical="center"/>
    </xf>
    <xf numFmtId="10" fontId="67" fillId="0" borderId="0" xfId="8" applyNumberFormat="1" applyFont="1" applyAlignment="1" applyProtection="1">
      <alignment vertical="center"/>
    </xf>
    <xf numFmtId="9" fontId="67" fillId="0" borderId="0" xfId="0" applyNumberFormat="1" applyFont="1" applyAlignment="1" applyProtection="1">
      <alignment horizontal="center" vertical="center"/>
    </xf>
    <xf numFmtId="10" fontId="67" fillId="0" borderId="0" xfId="0" applyNumberFormat="1" applyFont="1" applyAlignment="1" applyProtection="1">
      <alignment horizontal="right" vertical="center"/>
    </xf>
    <xf numFmtId="44" fontId="67" fillId="2" borderId="0" xfId="3" applyNumberFormat="1" applyFont="1" applyFill="1" applyAlignment="1" applyProtection="1">
      <alignment horizontal="right" vertical="center"/>
    </xf>
    <xf numFmtId="9" fontId="67" fillId="0" borderId="0" xfId="0" applyNumberFormat="1" applyFont="1" applyAlignment="1" applyProtection="1">
      <alignment horizontal="right" vertical="center"/>
    </xf>
    <xf numFmtId="14" fontId="67" fillId="0" borderId="0" xfId="0" applyNumberFormat="1" applyFont="1" applyAlignment="1" applyProtection="1">
      <alignment horizontal="right" vertical="center"/>
    </xf>
    <xf numFmtId="171" fontId="73" fillId="0" borderId="0" xfId="0" applyFont="1" applyAlignment="1">
      <alignment vertical="center"/>
    </xf>
    <xf numFmtId="171" fontId="10" fillId="0" borderId="2" xfId="0" applyFont="1" applyBorder="1"/>
    <xf numFmtId="1" fontId="16" fillId="12" borderId="0" xfId="0" applyNumberFormat="1" applyFont="1" applyFill="1" applyAlignment="1" applyProtection="1">
      <alignment horizontal="center" vertical="center"/>
    </xf>
    <xf numFmtId="171" fontId="75" fillId="0" borderId="0" xfId="0" applyFont="1" applyFill="1" applyAlignment="1" applyProtection="1"/>
    <xf numFmtId="171" fontId="76" fillId="0" borderId="0" xfId="0" applyFont="1" applyProtection="1"/>
    <xf numFmtId="171" fontId="76" fillId="0" borderId="0" xfId="0" applyFont="1" applyFill="1" applyProtection="1"/>
    <xf numFmtId="171" fontId="77" fillId="0" borderId="0" xfId="0" applyFont="1" applyFill="1" applyAlignment="1" applyProtection="1"/>
    <xf numFmtId="171" fontId="76" fillId="0" borderId="0" xfId="0" applyFont="1" applyAlignment="1" applyProtection="1">
      <alignment vertical="center"/>
    </xf>
    <xf numFmtId="171" fontId="21" fillId="0" borderId="0" xfId="0" applyFont="1" applyFill="1" applyAlignment="1" applyProtection="1"/>
    <xf numFmtId="171" fontId="16" fillId="0" borderId="47" xfId="47" applyFont="1" applyFill="1" applyBorder="1" applyAlignment="1" applyProtection="1">
      <alignment horizontal="left" vertical="center"/>
    </xf>
    <xf numFmtId="171" fontId="16" fillId="0" borderId="12" xfId="47" applyFont="1" applyFill="1" applyBorder="1" applyAlignment="1" applyProtection="1">
      <alignment horizontal="left" vertical="center"/>
    </xf>
    <xf numFmtId="171" fontId="10" fillId="13" borderId="2" xfId="0" applyFont="1" applyFill="1" applyBorder="1"/>
    <xf numFmtId="171" fontId="10" fillId="0" borderId="0" xfId="0" applyFont="1"/>
    <xf numFmtId="5" fontId="15" fillId="0" borderId="0" xfId="99" quotePrefix="1" applyNumberFormat="1" applyFont="1" applyProtection="1"/>
    <xf numFmtId="171" fontId="10" fillId="0" borderId="0" xfId="0" applyFont="1" applyAlignment="1">
      <alignment vertical="center"/>
    </xf>
    <xf numFmtId="3" fontId="16" fillId="0" borderId="7" xfId="3" applyNumberFormat="1" applyFont="1" applyFill="1" applyBorder="1" applyAlignment="1" applyProtection="1">
      <alignment horizontal="left" wrapText="1"/>
    </xf>
    <xf numFmtId="3" fontId="16" fillId="4" borderId="7" xfId="3" applyNumberFormat="1" applyFont="1" applyFill="1" applyBorder="1" applyAlignment="1" applyProtection="1">
      <alignment horizontal="left" wrapText="1"/>
      <protection locked="0"/>
    </xf>
    <xf numFmtId="0" fontId="23" fillId="0" borderId="0" xfId="0" applyNumberFormat="1" applyFont="1" applyFill="1" applyBorder="1" applyAlignment="1" applyProtection="1">
      <alignment horizontal="right"/>
    </xf>
    <xf numFmtId="164" fontId="21" fillId="0" borderId="0" xfId="0" applyNumberFormat="1" applyFont="1" applyAlignment="1" applyProtection="1">
      <alignment horizontal="center"/>
    </xf>
    <xf numFmtId="171" fontId="60" fillId="0" borderId="37" xfId="0" applyFont="1" applyBorder="1" applyProtection="1"/>
    <xf numFmtId="171" fontId="60" fillId="0" borderId="19" xfId="0" applyFont="1" applyBorder="1" applyProtection="1"/>
    <xf numFmtId="164" fontId="60" fillId="0" borderId="37" xfId="0" applyNumberFormat="1" applyFont="1" applyBorder="1" applyProtection="1"/>
    <xf numFmtId="44" fontId="60" fillId="0" borderId="37" xfId="0" applyNumberFormat="1" applyFont="1" applyBorder="1" applyProtection="1"/>
    <xf numFmtId="10" fontId="60" fillId="0" borderId="37" xfId="8" applyNumberFormat="1" applyFont="1" applyBorder="1" applyProtection="1"/>
    <xf numFmtId="165" fontId="16" fillId="0" borderId="19" xfId="0" applyNumberFormat="1" applyFont="1" applyBorder="1" applyAlignment="1" applyProtection="1">
      <alignment horizontal="left"/>
    </xf>
    <xf numFmtId="0" fontId="60" fillId="0" borderId="52" xfId="0" applyNumberFormat="1" applyFont="1" applyBorder="1" applyProtection="1"/>
    <xf numFmtId="165" fontId="16" fillId="0" borderId="31" xfId="0" applyNumberFormat="1" applyFont="1" applyBorder="1" applyAlignment="1" applyProtection="1">
      <alignment horizontal="left"/>
    </xf>
    <xf numFmtId="165" fontId="60" fillId="0" borderId="24" xfId="0" applyNumberFormat="1" applyFont="1" applyBorder="1" applyAlignment="1" applyProtection="1">
      <alignment horizontal="center"/>
    </xf>
    <xf numFmtId="171" fontId="76" fillId="0" borderId="0" xfId="0" applyFont="1" applyBorder="1" applyProtection="1"/>
    <xf numFmtId="0" fontId="60" fillId="0" borderId="37" xfId="0" applyNumberFormat="1" applyFont="1" applyBorder="1" applyProtection="1"/>
    <xf numFmtId="49" fontId="10" fillId="0" borderId="2" xfId="0" applyNumberFormat="1" applyFont="1" applyFill="1" applyBorder="1" applyAlignment="1">
      <alignment horizontal="center"/>
    </xf>
    <xf numFmtId="43" fontId="16" fillId="0" borderId="0" xfId="1" applyFont="1" applyFill="1" applyBorder="1" applyAlignment="1" applyProtection="1">
      <alignment vertical="center"/>
    </xf>
    <xf numFmtId="171" fontId="55" fillId="30" borderId="2" xfId="0" applyFont="1" applyFill="1" applyBorder="1"/>
    <xf numFmtId="171" fontId="55" fillId="30" borderId="0" xfId="0" applyFont="1" applyFill="1"/>
    <xf numFmtId="171" fontId="55" fillId="0" borderId="0" xfId="0" applyFont="1" applyFill="1"/>
    <xf numFmtId="171" fontId="10" fillId="0" borderId="2" xfId="0" applyFont="1" applyFill="1" applyBorder="1"/>
    <xf numFmtId="171" fontId="55" fillId="31" borderId="0" xfId="0" applyFont="1" applyFill="1"/>
    <xf numFmtId="171" fontId="55" fillId="32" borderId="0" xfId="0" applyFont="1" applyFill="1"/>
    <xf numFmtId="171" fontId="10" fillId="0" borderId="65" xfId="0" applyFont="1" applyBorder="1"/>
    <xf numFmtId="171" fontId="55" fillId="0" borderId="67" xfId="0" applyFont="1" applyFill="1" applyBorder="1"/>
    <xf numFmtId="171" fontId="55" fillId="31" borderId="61" xfId="0" applyFont="1" applyFill="1" applyBorder="1"/>
    <xf numFmtId="171" fontId="10" fillId="0" borderId="18" xfId="0" applyFont="1" applyFill="1" applyBorder="1"/>
    <xf numFmtId="171" fontId="55" fillId="32" borderId="61" xfId="0" applyFont="1" applyFill="1" applyBorder="1"/>
    <xf numFmtId="171" fontId="55" fillId="0" borderId="61" xfId="0" applyFont="1" applyBorder="1"/>
    <xf numFmtId="171" fontId="55" fillId="9" borderId="44" xfId="0" applyFont="1" applyFill="1" applyBorder="1"/>
    <xf numFmtId="171" fontId="10" fillId="0" borderId="32" xfId="0" applyFont="1" applyFill="1" applyBorder="1"/>
    <xf numFmtId="9" fontId="55" fillId="0" borderId="2" xfId="8" applyFont="1" applyFill="1" applyBorder="1"/>
    <xf numFmtId="171" fontId="10" fillId="12" borderId="2" xfId="0" applyFont="1" applyFill="1" applyBorder="1"/>
    <xf numFmtId="171" fontId="10" fillId="0" borderId="29" xfId="0" applyFont="1" applyFill="1" applyBorder="1"/>
    <xf numFmtId="2" fontId="67" fillId="0" borderId="0" xfId="0" applyNumberFormat="1" applyFont="1" applyAlignment="1" applyProtection="1">
      <alignment vertical="center"/>
    </xf>
    <xf numFmtId="9" fontId="67" fillId="0" borderId="0" xfId="8" applyFont="1" applyAlignment="1" applyProtection="1">
      <alignment vertical="center"/>
    </xf>
    <xf numFmtId="167" fontId="67" fillId="2" borderId="0" xfId="3" applyNumberFormat="1" applyFont="1" applyFill="1" applyAlignment="1" applyProtection="1">
      <alignment horizontal="right" vertical="center"/>
    </xf>
    <xf numFmtId="1" fontId="55" fillId="13" borderId="2" xfId="0" applyNumberFormat="1" applyFont="1" applyFill="1" applyBorder="1" applyAlignment="1">
      <alignment horizontal="center"/>
    </xf>
    <xf numFmtId="171" fontId="10" fillId="13" borderId="2" xfId="0" applyFont="1" applyFill="1" applyBorder="1" applyAlignment="1">
      <alignment horizontal="center"/>
    </xf>
    <xf numFmtId="0" fontId="10" fillId="0" borderId="2" xfId="0" applyNumberFormat="1" applyFont="1" applyBorder="1" applyAlignment="1">
      <alignment horizontal="left" wrapText="1"/>
    </xf>
    <xf numFmtId="171" fontId="72" fillId="0" borderId="2" xfId="0" applyFont="1" applyBorder="1" applyAlignment="1">
      <alignment horizontal="left" vertical="top"/>
    </xf>
    <xf numFmtId="0" fontId="73" fillId="0" borderId="2" xfId="0" applyNumberFormat="1" applyFont="1" applyBorder="1" applyAlignment="1">
      <alignment horizontal="left" vertical="top"/>
    </xf>
    <xf numFmtId="14" fontId="73" fillId="0" borderId="2" xfId="0" applyNumberFormat="1" applyFont="1" applyBorder="1" applyAlignment="1">
      <alignment horizontal="left" vertical="top"/>
    </xf>
    <xf numFmtId="0" fontId="73" fillId="0" borderId="8" xfId="0" applyNumberFormat="1" applyFont="1" applyBorder="1" applyAlignment="1">
      <alignment horizontal="left" vertical="top"/>
    </xf>
    <xf numFmtId="14" fontId="73" fillId="0" borderId="3" xfId="0" applyNumberFormat="1" applyFont="1" applyBorder="1" applyAlignment="1">
      <alignment horizontal="left" vertical="top"/>
    </xf>
    <xf numFmtId="171" fontId="73" fillId="0" borderId="2" xfId="0" applyFont="1" applyBorder="1" applyAlignment="1">
      <alignment horizontal="left" vertical="top"/>
    </xf>
    <xf numFmtId="14" fontId="10" fillId="0" borderId="2" xfId="0" applyNumberFormat="1" applyFont="1" applyBorder="1" applyAlignment="1">
      <alignment horizontal="left" vertical="top"/>
    </xf>
    <xf numFmtId="14" fontId="10" fillId="0" borderId="8" xfId="0" applyNumberFormat="1" applyFont="1" applyBorder="1" applyAlignment="1">
      <alignment horizontal="left" vertical="top"/>
    </xf>
    <xf numFmtId="14" fontId="10" fillId="0" borderId="3" xfId="0" quotePrefix="1" applyNumberFormat="1" applyFont="1" applyBorder="1" applyAlignment="1">
      <alignment horizontal="left" vertical="top"/>
    </xf>
    <xf numFmtId="14" fontId="10" fillId="0" borderId="2" xfId="0" quotePrefix="1" applyNumberFormat="1" applyFont="1" applyBorder="1" applyAlignment="1">
      <alignment horizontal="left" vertical="top"/>
    </xf>
    <xf numFmtId="14" fontId="10" fillId="0" borderId="9" xfId="0" applyNumberFormat="1" applyFont="1" applyBorder="1" applyAlignment="1">
      <alignment horizontal="left" vertical="top"/>
    </xf>
    <xf numFmtId="14" fontId="73" fillId="0" borderId="8" xfId="0" applyNumberFormat="1" applyFont="1" applyBorder="1" applyAlignment="1">
      <alignment horizontal="left" vertical="top"/>
    </xf>
    <xf numFmtId="14" fontId="73" fillId="0" borderId="0" xfId="0" applyNumberFormat="1" applyFont="1" applyAlignment="1">
      <alignment horizontal="left" vertical="top"/>
    </xf>
    <xf numFmtId="171" fontId="73" fillId="0" borderId="0" xfId="0" applyFont="1" applyAlignment="1">
      <alignment horizontal="left" vertical="top"/>
    </xf>
    <xf numFmtId="0" fontId="72" fillId="0" borderId="2" xfId="0" applyNumberFormat="1" applyFont="1" applyBorder="1" applyAlignment="1">
      <alignment horizontal="left" wrapText="1"/>
    </xf>
    <xf numFmtId="0" fontId="74" fillId="0" borderId="2" xfId="0" applyNumberFormat="1" applyFont="1" applyBorder="1" applyAlignment="1">
      <alignment horizontal="left" wrapText="1"/>
    </xf>
    <xf numFmtId="0" fontId="74" fillId="0" borderId="2" xfId="102" applyNumberFormat="1" applyFont="1" applyBorder="1" applyAlignment="1">
      <alignment horizontal="left" wrapText="1"/>
    </xf>
    <xf numFmtId="0" fontId="74" fillId="0" borderId="2" xfId="0" applyNumberFormat="1" applyFont="1" applyFill="1" applyBorder="1" applyAlignment="1">
      <alignment horizontal="left" wrapText="1"/>
    </xf>
    <xf numFmtId="0" fontId="73" fillId="0" borderId="2" xfId="0" applyNumberFormat="1" applyFont="1" applyBorder="1" applyAlignment="1">
      <alignment horizontal="left" wrapText="1"/>
    </xf>
    <xf numFmtId="0" fontId="10" fillId="0" borderId="2" xfId="0" applyNumberFormat="1" applyFont="1" applyFill="1" applyBorder="1" applyAlignment="1">
      <alignment horizontal="left" wrapText="1"/>
    </xf>
    <xf numFmtId="0" fontId="10" fillId="0" borderId="8" xfId="0" applyNumberFormat="1" applyFont="1" applyBorder="1" applyAlignment="1">
      <alignment horizontal="left" wrapText="1"/>
    </xf>
    <xf numFmtId="0" fontId="10" fillId="0" borderId="3" xfId="0" applyNumberFormat="1" applyFont="1" applyBorder="1" applyAlignment="1">
      <alignment horizontal="left" wrapText="1"/>
    </xf>
    <xf numFmtId="0" fontId="73" fillId="0" borderId="0" xfId="0" applyNumberFormat="1" applyFont="1" applyAlignment="1">
      <alignment horizontal="left" wrapText="1"/>
    </xf>
    <xf numFmtId="0" fontId="14" fillId="0" borderId="2" xfId="0" applyNumberFormat="1" applyFont="1" applyBorder="1" applyAlignment="1">
      <alignment horizontal="left" wrapText="1"/>
    </xf>
    <xf numFmtId="0" fontId="10" fillId="0" borderId="2" xfId="102" applyNumberFormat="1" applyFont="1" applyBorder="1" applyAlignment="1">
      <alignment horizontal="left" wrapText="1"/>
    </xf>
    <xf numFmtId="0" fontId="0" fillId="0" borderId="2" xfId="0" applyNumberFormat="1" applyFont="1" applyBorder="1" applyAlignment="1">
      <alignment horizontal="left" wrapText="1"/>
    </xf>
    <xf numFmtId="0" fontId="0" fillId="0" borderId="2" xfId="0" applyNumberFormat="1" applyFont="1" applyFill="1" applyBorder="1" applyAlignment="1">
      <alignment horizontal="left" wrapText="1"/>
    </xf>
    <xf numFmtId="0" fontId="0" fillId="0" borderId="8" xfId="0" applyNumberFormat="1" applyFont="1" applyFill="1" applyBorder="1" applyAlignment="1">
      <alignment horizontal="left" wrapText="1"/>
    </xf>
    <xf numFmtId="0" fontId="10" fillId="0" borderId="0" xfId="0" applyNumberFormat="1" applyFont="1" applyBorder="1" applyAlignment="1">
      <alignment horizontal="left" wrapText="1"/>
    </xf>
    <xf numFmtId="0" fontId="14" fillId="0" borderId="2" xfId="0" applyNumberFormat="1" applyFont="1" applyBorder="1" applyAlignment="1">
      <alignment wrapText="1"/>
    </xf>
    <xf numFmtId="0" fontId="72" fillId="0" borderId="2" xfId="0" applyNumberFormat="1" applyFont="1" applyBorder="1" applyAlignment="1">
      <alignment wrapText="1"/>
    </xf>
    <xf numFmtId="0" fontId="10" fillId="0" borderId="3" xfId="0" applyNumberFormat="1" applyFont="1" applyFill="1" applyBorder="1" applyAlignment="1">
      <alignment horizontal="left" wrapText="1"/>
    </xf>
    <xf numFmtId="171" fontId="16" fillId="0" borderId="53" xfId="0" applyFont="1" applyBorder="1" applyAlignment="1" applyProtection="1">
      <alignment vertical="center" wrapText="1"/>
    </xf>
    <xf numFmtId="171" fontId="60" fillId="0" borderId="40" xfId="0" applyFont="1" applyBorder="1" applyAlignment="1" applyProtection="1">
      <alignment vertical="center" wrapText="1"/>
    </xf>
    <xf numFmtId="14" fontId="10" fillId="0" borderId="0" xfId="0" applyNumberFormat="1" applyFont="1" applyAlignment="1">
      <alignment horizontal="left" vertical="top"/>
    </xf>
    <xf numFmtId="14" fontId="73" fillId="0" borderId="65" xfId="0" applyNumberFormat="1" applyFont="1" applyBorder="1" applyAlignment="1">
      <alignment horizontal="left" vertical="top"/>
    </xf>
    <xf numFmtId="0" fontId="10" fillId="0" borderId="66" xfId="0" applyNumberFormat="1" applyFont="1" applyBorder="1" applyAlignment="1">
      <alignment horizontal="left" wrapText="1"/>
    </xf>
    <xf numFmtId="0" fontId="10" fillId="0" borderId="67" xfId="0" applyNumberFormat="1" applyFont="1" applyBorder="1" applyAlignment="1">
      <alignment horizontal="left" wrapText="1"/>
    </xf>
    <xf numFmtId="14" fontId="73" fillId="0" borderId="61" xfId="0" applyNumberFormat="1" applyFont="1" applyBorder="1" applyAlignment="1">
      <alignment horizontal="left" vertical="top"/>
    </xf>
    <xf numFmtId="0" fontId="10" fillId="0" borderId="18" xfId="0" applyNumberFormat="1" applyFont="1" applyBorder="1" applyAlignment="1">
      <alignment horizontal="left" wrapText="1"/>
    </xf>
    <xf numFmtId="0" fontId="10" fillId="0" borderId="0" xfId="0" applyNumberFormat="1" applyFont="1" applyFill="1" applyBorder="1" applyAlignment="1">
      <alignment horizontal="left" wrapText="1"/>
    </xf>
    <xf numFmtId="0" fontId="10" fillId="0" borderId="18" xfId="0" applyNumberFormat="1" applyFont="1" applyBorder="1" applyAlignment="1">
      <alignment horizontal="left"/>
    </xf>
    <xf numFmtId="14" fontId="73" fillId="0" borderId="44" xfId="0" applyNumberFormat="1" applyFont="1" applyBorder="1" applyAlignment="1">
      <alignment horizontal="left" vertical="top"/>
    </xf>
    <xf numFmtId="0" fontId="10" fillId="0" borderId="5" xfId="0" applyNumberFormat="1" applyFont="1" applyBorder="1" applyAlignment="1">
      <alignment horizontal="left" wrapText="1"/>
    </xf>
    <xf numFmtId="0" fontId="10" fillId="0" borderId="32" xfId="0" applyNumberFormat="1" applyFont="1" applyBorder="1" applyAlignment="1">
      <alignment horizontal="left" wrapText="1"/>
    </xf>
    <xf numFmtId="171" fontId="21" fillId="0" borderId="0" xfId="0" applyFont="1" applyFill="1" applyAlignment="1" applyProtection="1">
      <alignment horizontal="right"/>
    </xf>
    <xf numFmtId="14" fontId="21" fillId="0" borderId="0" xfId="0" applyNumberFormat="1" applyFont="1" applyAlignment="1" applyProtection="1">
      <alignment horizontal="left"/>
    </xf>
    <xf numFmtId="171" fontId="16" fillId="5" borderId="0" xfId="0" applyFont="1" applyFill="1" applyAlignment="1" applyProtection="1"/>
    <xf numFmtId="171" fontId="16" fillId="0" borderId="0" xfId="0" applyFont="1" applyFill="1" applyAlignment="1" applyProtection="1"/>
    <xf numFmtId="171" fontId="27" fillId="0" borderId="0" xfId="0" applyFont="1" applyAlignment="1" applyProtection="1">
      <alignment horizontal="right"/>
    </xf>
    <xf numFmtId="14" fontId="25" fillId="0" borderId="0" xfId="0" applyNumberFormat="1" applyFont="1" applyAlignment="1" applyProtection="1">
      <alignment horizontal="left"/>
    </xf>
    <xf numFmtId="171" fontId="21" fillId="0" borderId="0" xfId="0" applyFont="1" applyAlignment="1" applyProtection="1">
      <alignment horizontal="right"/>
    </xf>
    <xf numFmtId="14" fontId="43" fillId="0" borderId="0" xfId="0" applyNumberFormat="1" applyFont="1" applyAlignment="1" applyProtection="1">
      <alignment horizontal="left"/>
    </xf>
    <xf numFmtId="171" fontId="27" fillId="0" borderId="0" xfId="0" applyFont="1" applyAlignment="1" applyProtection="1">
      <alignment horizontal="right" vertical="center"/>
    </xf>
    <xf numFmtId="0" fontId="10" fillId="0" borderId="18" xfId="0" applyNumberFormat="1" applyFont="1" applyFill="1" applyBorder="1" applyAlignment="1">
      <alignment horizontal="left" wrapText="1"/>
    </xf>
    <xf numFmtId="0" fontId="10" fillId="0" borderId="5" xfId="0" applyNumberFormat="1" applyFont="1" applyFill="1" applyBorder="1" applyAlignment="1">
      <alignment horizontal="left" wrapText="1"/>
    </xf>
    <xf numFmtId="0" fontId="10" fillId="0" borderId="66" xfId="0" applyNumberFormat="1" applyFont="1" applyFill="1" applyBorder="1" applyAlignment="1">
      <alignment horizontal="left" wrapText="1"/>
    </xf>
    <xf numFmtId="14" fontId="10" fillId="0" borderId="61" xfId="0" applyNumberFormat="1" applyFont="1" applyBorder="1" applyAlignment="1">
      <alignment horizontal="left" vertical="top"/>
    </xf>
    <xf numFmtId="14" fontId="10" fillId="0" borderId="61" xfId="0" applyNumberFormat="1" applyFont="1" applyBorder="1" applyAlignment="1">
      <alignment horizontal="left" vertical="top" wrapText="1"/>
    </xf>
    <xf numFmtId="14" fontId="10" fillId="0" borderId="44" xfId="0" applyNumberFormat="1" applyFont="1" applyBorder="1" applyAlignment="1">
      <alignment horizontal="left" vertical="top"/>
    </xf>
    <xf numFmtId="3" fontId="16" fillId="0" borderId="7" xfId="3" applyNumberFormat="1" applyFont="1" applyFill="1" applyBorder="1" applyAlignment="1" applyProtection="1">
      <alignment horizontal="left"/>
    </xf>
    <xf numFmtId="171" fontId="16" fillId="4" borderId="9" xfId="0" applyFont="1" applyFill="1" applyBorder="1" applyAlignment="1" applyProtection="1">
      <alignment horizontal="left" vertical="center"/>
      <protection locked="0"/>
    </xf>
    <xf numFmtId="171" fontId="86" fillId="0" borderId="0" xfId="0" applyFont="1" applyAlignment="1" applyProtection="1"/>
    <xf numFmtId="5" fontId="48" fillId="5" borderId="13" xfId="0" applyNumberFormat="1" applyFont="1" applyFill="1" applyBorder="1" applyAlignment="1" applyProtection="1"/>
    <xf numFmtId="2" fontId="48" fillId="5" borderId="3" xfId="0" applyNumberFormat="1" applyFont="1" applyFill="1" applyBorder="1" applyAlignment="1" applyProtection="1"/>
    <xf numFmtId="5" fontId="48" fillId="12" borderId="9" xfId="0" applyNumberFormat="1" applyFont="1" applyFill="1" applyBorder="1" applyAlignment="1" applyProtection="1"/>
    <xf numFmtId="5" fontId="48" fillId="12" borderId="20" xfId="0" applyNumberFormat="1" applyFont="1" applyFill="1" applyBorder="1" applyAlignment="1" applyProtection="1"/>
    <xf numFmtId="5" fontId="48" fillId="4" borderId="13" xfId="47" applyNumberFormat="1" applyFont="1" applyFill="1" applyBorder="1" applyAlignment="1" applyProtection="1">
      <protection locked="0"/>
    </xf>
    <xf numFmtId="5" fontId="48" fillId="7" borderId="13" xfId="0" applyNumberFormat="1" applyFont="1" applyFill="1" applyBorder="1" applyAlignment="1" applyProtection="1">
      <protection locked="0"/>
    </xf>
    <xf numFmtId="7" fontId="48" fillId="0" borderId="12" xfId="0" applyNumberFormat="1" applyFont="1" applyBorder="1" applyAlignment="1" applyProtection="1"/>
    <xf numFmtId="0" fontId="65" fillId="0" borderId="0" xfId="134" quotePrefix="1" applyFont="1" applyAlignment="1">
      <alignment horizontal="center"/>
    </xf>
    <xf numFmtId="0" fontId="10" fillId="0" borderId="0" xfId="139"/>
    <xf numFmtId="0" fontId="66" fillId="0" borderId="0" xfId="134" applyFont="1"/>
    <xf numFmtId="165" fontId="15" fillId="0" borderId="0" xfId="136" applyNumberFormat="1"/>
    <xf numFmtId="5" fontId="2" fillId="0" borderId="0" xfId="99" quotePrefix="1" applyNumberFormat="1" applyFont="1" applyAlignment="1" applyProtection="1">
      <alignment horizontal="center"/>
    </xf>
    <xf numFmtId="165" fontId="15" fillId="0" borderId="0" xfId="136" quotePrefix="1" applyNumberFormat="1"/>
    <xf numFmtId="165" fontId="2" fillId="0" borderId="0" xfId="140" applyNumberFormat="1" applyFont="1"/>
    <xf numFmtId="165" fontId="10" fillId="0" borderId="0" xfId="0" applyNumberFormat="1" applyFont="1"/>
    <xf numFmtId="0" fontId="66" fillId="0" borderId="0" xfId="134" quotePrefix="1" applyFont="1"/>
    <xf numFmtId="165" fontId="2" fillId="0" borderId="0" xfId="141" applyNumberFormat="1" applyFont="1"/>
    <xf numFmtId="171" fontId="66" fillId="0" borderId="0" xfId="134" quotePrefix="1" applyNumberFormat="1" applyFont="1" applyAlignment="1">
      <alignment horizontal="left"/>
    </xf>
    <xf numFmtId="171" fontId="78" fillId="0" borderId="0" xfId="0" applyFont="1" applyAlignment="1" applyProtection="1">
      <alignment horizontal="left" vertical="center" wrapText="1"/>
    </xf>
    <xf numFmtId="49" fontId="78" fillId="0" borderId="0" xfId="0" applyNumberFormat="1" applyFont="1" applyAlignment="1" applyProtection="1">
      <alignment horizontal="left" vertical="center" wrapText="1"/>
    </xf>
    <xf numFmtId="171" fontId="70" fillId="2" borderId="0" xfId="0" applyFont="1" applyFill="1" applyAlignment="1" applyProtection="1">
      <alignment horizontal="center" vertical="center"/>
    </xf>
    <xf numFmtId="171" fontId="67" fillId="0" borderId="0" xfId="0" applyFont="1" applyAlignment="1" applyProtection="1">
      <alignment horizontal="center" vertical="center"/>
    </xf>
    <xf numFmtId="171" fontId="44" fillId="0" borderId="0" xfId="0" applyFont="1" applyAlignment="1" applyProtection="1">
      <alignment horizontal="left"/>
    </xf>
    <xf numFmtId="171" fontId="44" fillId="0" borderId="0" xfId="0" applyFont="1" applyBorder="1" applyAlignment="1" applyProtection="1">
      <alignment horizontal="left"/>
    </xf>
    <xf numFmtId="171" fontId="42" fillId="0" borderId="0" xfId="0" applyFont="1" applyBorder="1" applyAlignment="1" applyProtection="1"/>
    <xf numFmtId="171" fontId="46" fillId="0" borderId="0" xfId="0" applyNumberFormat="1" applyFont="1" applyFill="1" applyBorder="1" applyAlignment="1" applyProtection="1"/>
    <xf numFmtId="171" fontId="31" fillId="0" borderId="0" xfId="0" applyFont="1" applyAlignment="1" applyProtection="1">
      <alignment horizontal="right"/>
    </xf>
    <xf numFmtId="171" fontId="21" fillId="0" borderId="0" xfId="0" applyFont="1" applyFill="1" applyAlignment="1" applyProtection="1">
      <alignment horizontal="center"/>
    </xf>
    <xf numFmtId="14" fontId="43" fillId="0" borderId="0" xfId="0" applyNumberFormat="1" applyFont="1" applyFill="1" applyAlignment="1" applyProtection="1">
      <alignment horizontal="left"/>
    </xf>
    <xf numFmtId="171" fontId="43" fillId="0" borderId="0" xfId="0" applyFont="1" applyFill="1" applyAlignment="1" applyProtection="1"/>
    <xf numFmtId="171" fontId="25" fillId="0" borderId="0" xfId="0" applyFont="1" applyAlignment="1" applyProtection="1">
      <alignment horizontal="right"/>
    </xf>
    <xf numFmtId="171" fontId="31" fillId="0" borderId="0" xfId="0" applyNumberFormat="1" applyFont="1" applyFill="1" applyBorder="1" applyAlignment="1" applyProtection="1">
      <alignment horizontal="right"/>
    </xf>
    <xf numFmtId="171" fontId="16" fillId="0" borderId="37" xfId="0" applyFont="1" applyFill="1" applyBorder="1" applyAlignment="1" applyProtection="1">
      <alignment horizontal="left" vertical="center"/>
    </xf>
    <xf numFmtId="1" fontId="16" fillId="4" borderId="19" xfId="1" applyNumberFormat="1" applyFont="1" applyFill="1" applyBorder="1" applyAlignment="1" applyProtection="1">
      <alignment horizontal="right" vertical="center"/>
      <protection locked="0"/>
    </xf>
    <xf numFmtId="168" fontId="21" fillId="0" borderId="19" xfId="1" applyNumberFormat="1" applyFont="1" applyFill="1" applyBorder="1" applyAlignment="1" applyProtection="1">
      <alignment horizontal="right" vertical="center"/>
    </xf>
    <xf numFmtId="168" fontId="16" fillId="4" borderId="2" xfId="1" applyNumberFormat="1" applyFont="1" applyFill="1" applyBorder="1" applyAlignment="1" applyProtection="1">
      <alignment horizontal="right" vertical="center"/>
      <protection locked="0"/>
    </xf>
    <xf numFmtId="168" fontId="21" fillId="0" borderId="2" xfId="1" applyNumberFormat="1" applyFont="1" applyFill="1" applyBorder="1" applyAlignment="1" applyProtection="1">
      <alignment horizontal="right" vertical="center"/>
    </xf>
    <xf numFmtId="168" fontId="16" fillId="4" borderId="29" xfId="1" applyNumberFormat="1" applyFont="1" applyFill="1" applyBorder="1" applyAlignment="1" applyProtection="1">
      <alignment horizontal="right" vertical="center"/>
      <protection locked="0"/>
    </xf>
    <xf numFmtId="43" fontId="16" fillId="4" borderId="8" xfId="1" applyFont="1" applyFill="1" applyBorder="1" applyAlignment="1" applyProtection="1">
      <alignment horizontal="right" vertical="center"/>
      <protection locked="0"/>
    </xf>
    <xf numFmtId="1" fontId="16" fillId="4" borderId="31" xfId="1" applyNumberFormat="1" applyFont="1" applyFill="1" applyBorder="1" applyAlignment="1" applyProtection="1">
      <alignment horizontal="right" vertical="center"/>
      <protection locked="0"/>
    </xf>
    <xf numFmtId="49" fontId="16" fillId="0" borderId="37" xfId="0" applyNumberFormat="1" applyFont="1" applyFill="1" applyBorder="1" applyAlignment="1" applyProtection="1">
      <alignment vertical="center"/>
    </xf>
    <xf numFmtId="43" fontId="16" fillId="4" borderId="2" xfId="1" applyFont="1" applyFill="1" applyBorder="1" applyAlignment="1" applyProtection="1">
      <alignment horizontal="right" vertical="center"/>
      <protection locked="0"/>
    </xf>
    <xf numFmtId="171" fontId="16" fillId="4" borderId="7" xfId="47" applyFont="1" applyFill="1" applyBorder="1" applyAlignment="1" applyProtection="1">
      <alignment horizontal="center" vertical="center" shrinkToFit="1"/>
      <protection locked="0"/>
    </xf>
    <xf numFmtId="164" fontId="16" fillId="4" borderId="7" xfId="0" applyNumberFormat="1" applyFont="1" applyFill="1" applyBorder="1" applyAlignment="1" applyProtection="1">
      <alignment vertical="center"/>
      <protection locked="0"/>
    </xf>
    <xf numFmtId="169" fontId="16" fillId="4" borderId="7" xfId="8" applyNumberFormat="1" applyFont="1" applyFill="1" applyBorder="1" applyAlignment="1" applyProtection="1">
      <alignment vertical="center"/>
      <protection locked="0"/>
    </xf>
    <xf numFmtId="1" fontId="16" fillId="4" borderId="7" xfId="8" applyNumberFormat="1" applyFont="1" applyFill="1" applyBorder="1" applyAlignment="1" applyProtection="1">
      <alignment vertical="center"/>
      <protection locked="0"/>
    </xf>
    <xf numFmtId="167" fontId="16" fillId="4" borderId="29" xfId="0" applyNumberFormat="1" applyFont="1" applyFill="1" applyBorder="1" applyAlignment="1" applyProtection="1">
      <alignment vertical="center"/>
      <protection locked="0"/>
    </xf>
    <xf numFmtId="14" fontId="16" fillId="4" borderId="7" xfId="0" applyNumberFormat="1" applyFont="1" applyFill="1" applyBorder="1" applyAlignment="1" applyProtection="1">
      <alignment vertical="center"/>
      <protection locked="0"/>
    </xf>
    <xf numFmtId="42" fontId="16" fillId="4" borderId="7" xfId="4" applyFont="1" applyFill="1" applyBorder="1" applyAlignment="1" applyProtection="1">
      <alignment horizontal="right" vertical="center"/>
      <protection locked="0"/>
    </xf>
    <xf numFmtId="44" fontId="16" fillId="0" borderId="70" xfId="3" applyFont="1" applyFill="1" applyBorder="1" applyAlignment="1" applyProtection="1">
      <alignment vertical="center"/>
    </xf>
    <xf numFmtId="171" fontId="21" fillId="0" borderId="23" xfId="0" applyFont="1" applyBorder="1" applyAlignment="1" applyProtection="1">
      <alignment horizontal="left" vertical="center"/>
    </xf>
    <xf numFmtId="171" fontId="21" fillId="0" borderId="26" xfId="0" applyFont="1" applyBorder="1" applyAlignment="1" applyProtection="1">
      <alignment horizontal="left" vertical="center"/>
    </xf>
    <xf numFmtId="164" fontId="16" fillId="0" borderId="58" xfId="3" applyNumberFormat="1" applyFont="1" applyBorder="1" applyAlignment="1" applyProtection="1">
      <alignment vertical="center"/>
    </xf>
    <xf numFmtId="165" fontId="16" fillId="0" borderId="58" xfId="3" applyNumberFormat="1" applyFont="1" applyBorder="1" applyAlignment="1" applyProtection="1">
      <alignment vertical="center"/>
    </xf>
    <xf numFmtId="10" fontId="16" fillId="0" borderId="58" xfId="0" applyNumberFormat="1" applyFont="1" applyBorder="1" applyAlignment="1" applyProtection="1">
      <alignment vertical="center"/>
    </xf>
    <xf numFmtId="164" fontId="16" fillId="0" borderId="58" xfId="3" applyNumberFormat="1" applyFont="1" applyBorder="1" applyAlignment="1" applyProtection="1">
      <alignment horizontal="center" vertical="center"/>
    </xf>
    <xf numFmtId="164" fontId="16" fillId="0" borderId="59" xfId="3" applyNumberFormat="1" applyFont="1" applyBorder="1" applyAlignment="1" applyProtection="1">
      <alignment vertical="center"/>
    </xf>
    <xf numFmtId="10" fontId="16" fillId="33" borderId="58" xfId="0" applyNumberFormat="1" applyFont="1" applyFill="1" applyBorder="1" applyAlignment="1" applyProtection="1">
      <alignment vertical="center"/>
    </xf>
    <xf numFmtId="171" fontId="16" fillId="33" borderId="58" xfId="0" applyFont="1" applyFill="1" applyBorder="1" applyAlignment="1" applyProtection="1">
      <alignment vertical="center"/>
    </xf>
    <xf numFmtId="44" fontId="16" fillId="33" borderId="19" xfId="3" applyFont="1" applyFill="1" applyBorder="1" applyAlignment="1" applyProtection="1">
      <alignment vertical="center"/>
    </xf>
    <xf numFmtId="8" fontId="16" fillId="33" borderId="2" xfId="0" applyNumberFormat="1" applyFont="1" applyFill="1" applyBorder="1" applyAlignment="1" applyProtection="1">
      <alignment horizontal="center" vertical="center"/>
    </xf>
    <xf numFmtId="10" fontId="16" fillId="33" borderId="19" xfId="0" applyNumberFormat="1" applyFont="1" applyFill="1" applyBorder="1" applyAlignment="1" applyProtection="1">
      <alignment vertical="center"/>
    </xf>
    <xf numFmtId="44" fontId="16" fillId="33" borderId="70" xfId="3" applyFont="1" applyFill="1" applyBorder="1" applyAlignment="1" applyProtection="1">
      <alignment vertical="center"/>
    </xf>
    <xf numFmtId="8" fontId="16" fillId="33" borderId="7" xfId="0" applyNumberFormat="1" applyFont="1" applyFill="1" applyBorder="1" applyAlignment="1" applyProtection="1">
      <alignment horizontal="center" vertical="center"/>
    </xf>
    <xf numFmtId="10" fontId="16" fillId="33" borderId="70" xfId="0" applyNumberFormat="1" applyFont="1" applyFill="1" applyBorder="1" applyAlignment="1" applyProtection="1">
      <alignment vertical="center"/>
    </xf>
    <xf numFmtId="164" fontId="16" fillId="33" borderId="58" xfId="3" applyNumberFormat="1" applyFont="1" applyFill="1" applyBorder="1" applyAlignment="1" applyProtection="1">
      <alignment horizontal="center" vertical="center"/>
    </xf>
    <xf numFmtId="164" fontId="16" fillId="33" borderId="59" xfId="3" applyNumberFormat="1" applyFont="1" applyFill="1" applyBorder="1" applyAlignment="1" applyProtection="1">
      <alignment vertical="center"/>
    </xf>
    <xf numFmtId="171" fontId="24" fillId="33" borderId="58" xfId="0" applyFont="1" applyFill="1" applyBorder="1" applyAlignment="1" applyProtection="1">
      <alignment vertical="center"/>
    </xf>
    <xf numFmtId="171" fontId="16" fillId="33" borderId="36" xfId="0" applyFont="1" applyFill="1" applyBorder="1" applyAlignment="1" applyProtection="1">
      <alignment vertical="center"/>
    </xf>
    <xf numFmtId="171" fontId="21" fillId="0" borderId="35" xfId="0" applyFont="1" applyBorder="1" applyAlignment="1" applyProtection="1">
      <alignment horizontal="left" vertical="center"/>
    </xf>
    <xf numFmtId="171" fontId="16" fillId="0" borderId="35" xfId="0" applyFont="1" applyBorder="1" applyAlignment="1" applyProtection="1">
      <alignment vertical="center"/>
    </xf>
    <xf numFmtId="164" fontId="16" fillId="0" borderId="35" xfId="3" applyNumberFormat="1" applyFont="1" applyBorder="1" applyAlignment="1" applyProtection="1">
      <alignment vertical="center"/>
    </xf>
    <xf numFmtId="165" fontId="16" fillId="0" borderId="35" xfId="3" applyNumberFormat="1" applyFont="1" applyBorder="1" applyAlignment="1" applyProtection="1">
      <alignment vertical="center"/>
    </xf>
    <xf numFmtId="10" fontId="16" fillId="0" borderId="35" xfId="0" applyNumberFormat="1" applyFont="1" applyBorder="1" applyAlignment="1" applyProtection="1">
      <alignment vertical="center"/>
    </xf>
    <xf numFmtId="164" fontId="16" fillId="0" borderId="35" xfId="3" applyNumberFormat="1" applyFont="1" applyBorder="1" applyAlignment="1" applyProtection="1">
      <alignment horizontal="center" vertical="center"/>
    </xf>
    <xf numFmtId="164" fontId="16" fillId="0" borderId="35" xfId="3" applyNumberFormat="1" applyFont="1" applyBorder="1" applyAlignment="1" applyProtection="1">
      <alignment horizontal="left" vertical="center"/>
    </xf>
    <xf numFmtId="171" fontId="24" fillId="0" borderId="35" xfId="0" applyFont="1" applyFill="1" applyBorder="1" applyAlignment="1" applyProtection="1">
      <alignment vertical="center"/>
    </xf>
    <xf numFmtId="171" fontId="16" fillId="0" borderId="25" xfId="0" applyFont="1" applyBorder="1" applyAlignment="1" applyProtection="1">
      <alignment vertical="center"/>
    </xf>
    <xf numFmtId="171" fontId="22" fillId="0" borderId="44" xfId="0" applyFont="1" applyBorder="1" applyAlignment="1" applyProtection="1">
      <alignment horizontal="left" vertical="center"/>
    </xf>
    <xf numFmtId="164" fontId="24" fillId="0" borderId="35" xfId="3" applyNumberFormat="1" applyFont="1" applyBorder="1" applyAlignment="1" applyProtection="1">
      <alignment horizontal="left" vertical="center"/>
    </xf>
    <xf numFmtId="171" fontId="24" fillId="0" borderId="0" xfId="0" applyFont="1" applyAlignment="1" applyProtection="1">
      <alignment vertical="center"/>
    </xf>
    <xf numFmtId="171" fontId="24" fillId="0" borderId="35" xfId="0" applyFont="1" applyBorder="1" applyAlignment="1" applyProtection="1">
      <alignment horizontal="left" vertical="center"/>
    </xf>
    <xf numFmtId="171" fontId="27" fillId="0" borderId="4" xfId="0" applyFont="1" applyBorder="1" applyAlignment="1" applyProtection="1"/>
    <xf numFmtId="171" fontId="23" fillId="0" borderId="22" xfId="0" applyFont="1" applyFill="1" applyBorder="1" applyAlignment="1" applyProtection="1">
      <alignment horizontal="left"/>
    </xf>
    <xf numFmtId="5" fontId="48" fillId="12" borderId="12" xfId="0" applyNumberFormat="1" applyFont="1" applyFill="1" applyBorder="1" applyAlignment="1" applyProtection="1"/>
    <xf numFmtId="171" fontId="87" fillId="12" borderId="21" xfId="0" applyFont="1" applyFill="1" applyBorder="1" applyAlignment="1" applyProtection="1">
      <alignment horizontal="left"/>
    </xf>
    <xf numFmtId="5" fontId="88" fillId="12" borderId="20" xfId="0" applyNumberFormat="1" applyFont="1" applyFill="1" applyBorder="1" applyAlignment="1" applyProtection="1"/>
    <xf numFmtId="5" fontId="88" fillId="12" borderId="21" xfId="0" applyNumberFormat="1" applyFont="1" applyFill="1" applyBorder="1" applyAlignment="1" applyProtection="1"/>
    <xf numFmtId="171" fontId="37" fillId="12" borderId="0" xfId="0" applyFont="1" applyFill="1" applyAlignment="1" applyProtection="1"/>
    <xf numFmtId="5" fontId="45" fillId="0" borderId="13" xfId="0" applyNumberFormat="1" applyFont="1" applyBorder="1" applyAlignment="1" applyProtection="1"/>
    <xf numFmtId="171" fontId="87" fillId="12" borderId="20" xfId="0" applyFont="1" applyFill="1" applyBorder="1" applyAlignment="1" applyProtection="1">
      <alignment horizontal="left"/>
    </xf>
    <xf numFmtId="5" fontId="87" fillId="12" borderId="20" xfId="0" applyNumberFormat="1" applyFont="1" applyFill="1" applyBorder="1" applyAlignment="1" applyProtection="1"/>
    <xf numFmtId="5" fontId="88" fillId="12" borderId="13" xfId="0" applyNumberFormat="1" applyFont="1" applyFill="1" applyBorder="1" applyAlignment="1" applyProtection="1"/>
    <xf numFmtId="171" fontId="48" fillId="0" borderId="12" xfId="0" applyFont="1" applyBorder="1" applyAlignment="1" applyProtection="1"/>
    <xf numFmtId="5" fontId="48" fillId="12" borderId="21" xfId="0" applyNumberFormat="1" applyFont="1" applyFill="1" applyBorder="1" applyAlignment="1" applyProtection="1"/>
    <xf numFmtId="171" fontId="48" fillId="0" borderId="4" xfId="0" applyFont="1" applyBorder="1" applyAlignment="1" applyProtection="1"/>
    <xf numFmtId="171" fontId="45" fillId="12" borderId="20" xfId="0" applyFont="1" applyFill="1" applyBorder="1" applyAlignment="1" applyProtection="1">
      <alignment horizontal="left"/>
    </xf>
    <xf numFmtId="171" fontId="48" fillId="12" borderId="20" xfId="0" applyFont="1" applyFill="1" applyBorder="1" applyAlignment="1" applyProtection="1"/>
    <xf numFmtId="166" fontId="48" fillId="0" borderId="12" xfId="0" applyNumberFormat="1" applyFont="1" applyBorder="1" applyAlignment="1" applyProtection="1"/>
    <xf numFmtId="171" fontId="48" fillId="12" borderId="20" xfId="0" applyFont="1" applyFill="1" applyBorder="1" applyAlignment="1" applyProtection="1">
      <alignment horizontal="left"/>
    </xf>
    <xf numFmtId="171" fontId="28" fillId="0" borderId="5" xfId="0" applyFont="1" applyBorder="1" applyAlignment="1" applyProtection="1">
      <alignment horizontal="right" vertical="center"/>
    </xf>
    <xf numFmtId="5" fontId="48" fillId="12" borderId="13" xfId="0" applyNumberFormat="1" applyFont="1" applyFill="1" applyBorder="1" applyAlignment="1" applyProtection="1"/>
    <xf numFmtId="164" fontId="60" fillId="4" borderId="2" xfId="3" applyNumberFormat="1" applyFont="1" applyFill="1" applyBorder="1" applyAlignment="1" applyProtection="1">
      <alignment horizontal="center" vertical="center"/>
      <protection locked="0"/>
    </xf>
    <xf numFmtId="171" fontId="21" fillId="15" borderId="36" xfId="0" applyFont="1" applyFill="1" applyBorder="1" applyAlignment="1" applyProtection="1">
      <alignment horizontal="center" vertical="center" wrapText="1"/>
    </xf>
    <xf numFmtId="171" fontId="16" fillId="0" borderId="52" xfId="0" applyFont="1" applyBorder="1" applyAlignment="1" applyProtection="1">
      <alignment horizontal="left" vertical="center"/>
    </xf>
    <xf numFmtId="171" fontId="67" fillId="0" borderId="0" xfId="0" applyFont="1" applyBorder="1" applyAlignment="1" applyProtection="1">
      <alignment horizontal="right" vertical="center"/>
    </xf>
    <xf numFmtId="165" fontId="67" fillId="2" borderId="0" xfId="0" applyNumberFormat="1" applyFont="1" applyFill="1" applyBorder="1" applyAlignment="1" applyProtection="1">
      <alignment horizontal="right" vertical="center"/>
    </xf>
    <xf numFmtId="10" fontId="67" fillId="12" borderId="2" xfId="3" applyNumberFormat="1" applyFont="1" applyFill="1" applyBorder="1" applyAlignment="1" applyProtection="1">
      <alignment horizontal="center" vertical="center"/>
    </xf>
    <xf numFmtId="164" fontId="16" fillId="3" borderId="58" xfId="3" applyNumberFormat="1" applyFont="1" applyFill="1" applyBorder="1" applyAlignment="1" applyProtection="1">
      <alignment horizontal="center" vertical="center"/>
    </xf>
    <xf numFmtId="171" fontId="24" fillId="3" borderId="58" xfId="0" applyFont="1" applyFill="1" applyBorder="1" applyAlignment="1" applyProtection="1">
      <alignment vertical="center"/>
    </xf>
    <xf numFmtId="171" fontId="16" fillId="3" borderId="36" xfId="0" applyFont="1" applyFill="1" applyBorder="1" applyAlignment="1" applyProtection="1">
      <alignment vertical="center"/>
    </xf>
    <xf numFmtId="1" fontId="31" fillId="5" borderId="2" xfId="0" applyNumberFormat="1" applyFont="1" applyFill="1" applyBorder="1" applyAlignment="1" applyProtection="1">
      <alignment horizontal="center" vertical="center"/>
    </xf>
    <xf numFmtId="171" fontId="76" fillId="0" borderId="0" xfId="0" applyFont="1" applyAlignment="1" applyProtection="1">
      <alignment horizontal="left" vertical="center"/>
    </xf>
    <xf numFmtId="171" fontId="75" fillId="0" borderId="0" xfId="0" applyFont="1" applyFill="1" applyAlignment="1" applyProtection="1">
      <alignment horizontal="center"/>
    </xf>
    <xf numFmtId="171" fontId="21" fillId="0" borderId="0" xfId="0" applyFont="1" applyFill="1" applyAlignment="1" applyProtection="1">
      <alignment horizontal="right" vertical="center"/>
    </xf>
    <xf numFmtId="171" fontId="21" fillId="1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16" fillId="0" borderId="12" xfId="0" applyFont="1" applyBorder="1" applyAlignment="1" applyProtection="1">
      <alignment horizontal="left" vertical="center"/>
    </xf>
    <xf numFmtId="171" fontId="21" fillId="15" borderId="27" xfId="0" applyFont="1" applyFill="1" applyBorder="1" applyAlignment="1" applyProtection="1">
      <alignment horizontal="center" vertical="center" wrapText="1"/>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3" fillId="0" borderId="9"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23" fillId="0" borderId="33" xfId="0" applyFont="1" applyFill="1" applyBorder="1" applyAlignment="1" applyProtection="1">
      <alignment horizontal="left"/>
    </xf>
    <xf numFmtId="14" fontId="27" fillId="0" borderId="0" xfId="0" applyNumberFormat="1" applyFont="1" applyAlignment="1" applyProtection="1">
      <alignment horizontal="left" vertical="center"/>
    </xf>
    <xf numFmtId="10" fontId="67" fillId="12" borderId="2" xfId="8"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71" fontId="67" fillId="0" borderId="1" xfId="0" applyFont="1" applyBorder="1" applyAlignment="1" applyProtection="1">
      <alignment vertical="center"/>
    </xf>
    <xf numFmtId="171" fontId="67" fillId="0" borderId="1" xfId="0" applyFont="1" applyFill="1" applyBorder="1" applyAlignment="1" applyProtection="1">
      <alignment vertical="center"/>
    </xf>
    <xf numFmtId="171" fontId="16" fillId="0" borderId="1" xfId="0" applyFont="1" applyBorder="1" applyAlignment="1" applyProtection="1">
      <alignment vertical="center"/>
    </xf>
    <xf numFmtId="171" fontId="69" fillId="0" borderId="1" xfId="0" applyFont="1" applyBorder="1" applyAlignment="1" applyProtection="1"/>
    <xf numFmtId="171" fontId="67" fillId="12" borderId="1" xfId="0" applyFont="1" applyFill="1" applyBorder="1" applyAlignment="1" applyProtection="1">
      <alignment vertical="center"/>
    </xf>
    <xf numFmtId="171" fontId="16" fillId="12" borderId="1" xfId="0" applyFont="1" applyFill="1" applyBorder="1" applyAlignment="1" applyProtection="1">
      <alignment vertical="center"/>
    </xf>
    <xf numFmtId="9" fontId="16" fillId="0" borderId="2" xfId="0" applyNumberFormat="1" applyFont="1" applyFill="1" applyBorder="1" applyAlignment="1" applyProtection="1">
      <alignment horizontal="left" vertical="center"/>
    </xf>
    <xf numFmtId="171" fontId="67" fillId="34" borderId="12" xfId="0" applyFont="1" applyFill="1" applyBorder="1" applyAlignment="1" applyProtection="1">
      <alignment horizontal="center" vertical="center"/>
    </xf>
    <xf numFmtId="171" fontId="67" fillId="34" borderId="9" xfId="0" applyFont="1" applyFill="1" applyBorder="1" applyAlignment="1" applyProtection="1">
      <alignment horizontal="left" vertical="center"/>
    </xf>
    <xf numFmtId="171" fontId="67" fillId="34" borderId="20" xfId="0" applyFont="1" applyFill="1" applyBorder="1" applyAlignment="1" applyProtection="1">
      <alignment horizontal="right" vertical="center"/>
    </xf>
    <xf numFmtId="171" fontId="70" fillId="12" borderId="0" xfId="0" applyFont="1" applyFill="1" applyAlignment="1" applyProtection="1">
      <alignment horizontal="center" vertical="center"/>
    </xf>
    <xf numFmtId="171" fontId="29" fillId="19" borderId="0" xfId="0" applyFont="1" applyFill="1" applyBorder="1" applyAlignment="1" applyProtection="1">
      <alignment vertical="center"/>
    </xf>
    <xf numFmtId="171" fontId="33" fillId="20" borderId="69" xfId="0" applyFont="1" applyFill="1" applyBorder="1" applyAlignment="1" applyProtection="1">
      <alignment vertical="center"/>
    </xf>
    <xf numFmtId="171" fontId="33" fillId="21" borderId="68" xfId="0" applyFont="1" applyFill="1" applyBorder="1" applyAlignment="1" applyProtection="1">
      <alignment vertical="center"/>
    </xf>
    <xf numFmtId="171" fontId="84" fillId="0" borderId="0" xfId="0" applyFont="1" applyProtection="1"/>
    <xf numFmtId="171" fontId="33" fillId="0" borderId="68" xfId="0" applyFont="1" applyFill="1" applyBorder="1" applyAlignment="1" applyProtection="1">
      <alignment vertical="center"/>
    </xf>
    <xf numFmtId="171" fontId="16" fillId="12" borderId="2" xfId="47" applyFont="1" applyFill="1" applyBorder="1" applyAlignment="1" applyProtection="1">
      <alignment horizontal="center" vertical="center" shrinkToFit="1"/>
    </xf>
    <xf numFmtId="164" fontId="16" fillId="12" borderId="2" xfId="47" applyNumberFormat="1" applyFont="1" applyFill="1" applyBorder="1" applyAlignment="1" applyProtection="1">
      <alignment vertical="center"/>
    </xf>
    <xf numFmtId="1" fontId="16" fillId="34" borderId="2" xfId="8" applyNumberFormat="1" applyFont="1" applyFill="1" applyBorder="1" applyAlignment="1" applyProtection="1">
      <alignment vertical="center"/>
    </xf>
    <xf numFmtId="1" fontId="16" fillId="34" borderId="2" xfId="0" applyNumberFormat="1" applyFont="1" applyFill="1" applyBorder="1" applyAlignment="1" applyProtection="1">
      <alignment vertical="center"/>
    </xf>
    <xf numFmtId="14" fontId="16" fillId="34" borderId="2" xfId="0" applyNumberFormat="1" applyFont="1" applyFill="1" applyBorder="1" applyAlignment="1" applyProtection="1">
      <alignment vertical="center"/>
    </xf>
    <xf numFmtId="42" fontId="16" fillId="34" borderId="2" xfId="4" applyFont="1" applyFill="1" applyBorder="1" applyAlignment="1" applyProtection="1">
      <alignment horizontal="right" vertical="center"/>
    </xf>
    <xf numFmtId="164" fontId="16" fillId="12" borderId="2" xfId="0" applyNumberFormat="1" applyFont="1" applyFill="1" applyBorder="1" applyAlignment="1" applyProtection="1">
      <alignment vertical="center"/>
    </xf>
    <xf numFmtId="1" fontId="16" fillId="34" borderId="7" xfId="8" applyNumberFormat="1" applyFont="1" applyFill="1" applyBorder="1" applyAlignment="1" applyProtection="1">
      <alignment vertical="center"/>
    </xf>
    <xf numFmtId="1" fontId="16" fillId="34" borderId="7" xfId="0" applyNumberFormat="1" applyFont="1" applyFill="1" applyBorder="1" applyAlignment="1" applyProtection="1">
      <alignment vertical="center"/>
    </xf>
    <xf numFmtId="14" fontId="16" fillId="34" borderId="7" xfId="0" applyNumberFormat="1" applyFont="1" applyFill="1" applyBorder="1" applyAlignment="1" applyProtection="1">
      <alignment vertical="center"/>
    </xf>
    <xf numFmtId="42" fontId="16" fillId="34" borderId="7" xfId="4" applyFont="1" applyFill="1" applyBorder="1" applyAlignment="1" applyProtection="1">
      <alignment horizontal="right" vertical="center"/>
    </xf>
    <xf numFmtId="170" fontId="16" fillId="12" borderId="0" xfId="3" applyNumberFormat="1" applyFont="1" applyFill="1" applyBorder="1" applyAlignment="1" applyProtection="1">
      <alignment vertical="center"/>
    </xf>
    <xf numFmtId="171" fontId="16" fillId="0" borderId="0" xfId="0" applyFont="1" applyProtection="1"/>
    <xf numFmtId="164" fontId="60" fillId="12" borderId="0" xfId="3" applyNumberFormat="1" applyFont="1" applyFill="1" applyBorder="1" applyAlignment="1" applyProtection="1">
      <alignment horizontal="center" vertical="center"/>
    </xf>
    <xf numFmtId="1" fontId="16" fillId="0" borderId="37" xfId="0" applyNumberFormat="1" applyFont="1" applyBorder="1" applyAlignment="1" applyProtection="1">
      <alignment vertical="center"/>
    </xf>
    <xf numFmtId="171" fontId="21" fillId="0" borderId="37" xfId="0" applyFont="1" applyBorder="1" applyAlignment="1" applyProtection="1">
      <alignment vertical="center"/>
    </xf>
    <xf numFmtId="165" fontId="16" fillId="0" borderId="37" xfId="0" applyNumberFormat="1" applyFont="1" applyBorder="1" applyAlignment="1" applyProtection="1">
      <alignment vertical="center"/>
    </xf>
    <xf numFmtId="49" fontId="76" fillId="0" borderId="0" xfId="0" applyNumberFormat="1" applyFont="1" applyFill="1" applyBorder="1" applyAlignment="1" applyProtection="1">
      <alignment vertical="top" wrapText="1"/>
    </xf>
    <xf numFmtId="171" fontId="16" fillId="34" borderId="72" xfId="0" applyFont="1" applyFill="1" applyBorder="1" applyProtection="1"/>
    <xf numFmtId="168" fontId="16" fillId="34" borderId="21" xfId="1" applyNumberFormat="1" applyFont="1" applyFill="1" applyBorder="1" applyAlignment="1" applyProtection="1">
      <alignment horizontal="right"/>
    </xf>
    <xf numFmtId="171" fontId="16" fillId="34" borderId="0" xfId="0" applyFont="1" applyFill="1" applyProtection="1"/>
    <xf numFmtId="171" fontId="76" fillId="34" borderId="0" xfId="0" applyFont="1" applyFill="1" applyProtection="1"/>
    <xf numFmtId="171" fontId="76" fillId="34" borderId="71" xfId="0" applyFont="1" applyFill="1" applyBorder="1" applyProtection="1"/>
    <xf numFmtId="9" fontId="55" fillId="0" borderId="2" xfId="0" applyNumberFormat="1" applyFont="1" applyFill="1" applyBorder="1"/>
    <xf numFmtId="10" fontId="55" fillId="0" borderId="2" xfId="8" applyNumberFormat="1" applyFont="1" applyFill="1" applyBorder="1"/>
    <xf numFmtId="5" fontId="67" fillId="2" borderId="7" xfId="3" applyNumberFormat="1" applyFont="1" applyFill="1" applyBorder="1" applyAlignment="1" applyProtection="1">
      <alignment horizontal="right" vertical="center"/>
    </xf>
    <xf numFmtId="10" fontId="16" fillId="0" borderId="0" xfId="3" applyNumberFormat="1" applyFont="1" applyFill="1" applyBorder="1" applyAlignment="1" applyProtection="1">
      <alignment vertical="center"/>
    </xf>
    <xf numFmtId="10" fontId="16" fillId="0" borderId="25" xfId="3" applyNumberFormat="1" applyFont="1" applyFill="1" applyBorder="1" applyAlignment="1" applyProtection="1">
      <alignment vertical="center"/>
    </xf>
    <xf numFmtId="10" fontId="16" fillId="0" borderId="0" xfId="0" applyNumberFormat="1" applyFont="1" applyAlignment="1" applyProtection="1">
      <alignment vertical="center"/>
    </xf>
    <xf numFmtId="171" fontId="67" fillId="34" borderId="20" xfId="0" applyFont="1" applyFill="1" applyBorder="1" applyAlignment="1" applyProtection="1">
      <alignment horizontal="left" vertical="center"/>
    </xf>
    <xf numFmtId="169" fontId="16" fillId="0" borderId="2" xfId="0" applyNumberFormat="1" applyFont="1" applyFill="1" applyBorder="1" applyAlignment="1" applyProtection="1">
      <alignment horizontal="left" vertical="center"/>
    </xf>
    <xf numFmtId="171" fontId="67" fillId="0" borderId="0" xfId="0" applyFont="1" applyBorder="1" applyAlignment="1" applyProtection="1">
      <alignment vertical="center"/>
    </xf>
    <xf numFmtId="169" fontId="55" fillId="0" borderId="2" xfId="8" applyNumberFormat="1" applyFont="1" applyFill="1" applyBorder="1"/>
    <xf numFmtId="169" fontId="55" fillId="0" borderId="3" xfId="8" applyNumberFormat="1" applyFont="1" applyFill="1" applyBorder="1"/>
    <xf numFmtId="169" fontId="67" fillId="8" borderId="3" xfId="0" applyNumberFormat="1" applyFont="1" applyFill="1" applyBorder="1" applyAlignment="1" applyProtection="1">
      <alignment horizontal="right" vertical="center"/>
    </xf>
    <xf numFmtId="169" fontId="67" fillId="8" borderId="29" xfId="0" applyNumberFormat="1" applyFont="1" applyFill="1" applyBorder="1" applyAlignment="1" applyProtection="1">
      <alignment horizontal="right" vertical="center"/>
    </xf>
    <xf numFmtId="169" fontId="55" fillId="0" borderId="2" xfId="0" applyNumberFormat="1" applyFont="1" applyFill="1" applyBorder="1"/>
    <xf numFmtId="1" fontId="16" fillId="2" borderId="0" xfId="0" applyNumberFormat="1" applyFont="1" applyFill="1" applyAlignment="1" applyProtection="1">
      <alignment horizontal="center" vertical="center"/>
    </xf>
    <xf numFmtId="171" fontId="16" fillId="2" borderId="0" xfId="0" applyFont="1" applyFill="1" applyAlignment="1" applyProtection="1">
      <alignment horizontal="center" vertical="center"/>
    </xf>
    <xf numFmtId="171" fontId="21" fillId="35" borderId="28" xfId="0" applyFont="1" applyFill="1" applyBorder="1" applyAlignment="1" applyProtection="1">
      <alignment horizontal="center" vertical="center" wrapText="1"/>
    </xf>
    <xf numFmtId="171" fontId="21" fillId="35" borderId="41" xfId="0" applyFont="1" applyFill="1" applyBorder="1" applyAlignment="1" applyProtection="1">
      <alignment horizontal="center" vertical="center" wrapText="1"/>
    </xf>
    <xf numFmtId="0" fontId="28" fillId="0" borderId="0" xfId="8" applyNumberFormat="1" applyFont="1" applyBorder="1" applyAlignment="1" applyProtection="1">
      <alignment vertical="center"/>
    </xf>
    <xf numFmtId="44" fontId="67" fillId="2" borderId="2" xfId="3" applyNumberFormat="1" applyFont="1" applyFill="1" applyBorder="1" applyAlignment="1" applyProtection="1">
      <alignment horizontal="center" vertical="center"/>
    </xf>
    <xf numFmtId="1" fontId="16" fillId="4" borderId="3" xfId="0" applyNumberFormat="1" applyFont="1" applyFill="1" applyBorder="1" applyAlignment="1" applyProtection="1">
      <alignment vertical="center"/>
      <protection locked="0"/>
    </xf>
    <xf numFmtId="1" fontId="16" fillId="4" borderId="29" xfId="0" applyNumberFormat="1" applyFont="1" applyFill="1" applyBorder="1" applyAlignment="1" applyProtection="1">
      <alignment vertical="center"/>
      <protection locked="0"/>
    </xf>
    <xf numFmtId="5" fontId="23" fillId="4" borderId="2" xfId="0" applyNumberFormat="1" applyFont="1" applyFill="1" applyBorder="1" applyAlignment="1" applyProtection="1">
      <protection locked="0"/>
    </xf>
    <xf numFmtId="5" fontId="23" fillId="4" borderId="2" xfId="47" applyNumberFormat="1" applyFont="1" applyFill="1" applyBorder="1" applyAlignment="1" applyProtection="1">
      <protection locked="0"/>
    </xf>
    <xf numFmtId="49" fontId="0" fillId="0" borderId="0" xfId="0" applyNumberFormat="1"/>
    <xf numFmtId="171" fontId="0" fillId="0" borderId="4" xfId="0" applyBorder="1"/>
    <xf numFmtId="2" fontId="0" fillId="0" borderId="0" xfId="0" applyNumberFormat="1"/>
    <xf numFmtId="171" fontId="73" fillId="0" borderId="5" xfId="0" applyFont="1" applyBorder="1" applyAlignment="1">
      <alignment vertical="center"/>
    </xf>
    <xf numFmtId="171" fontId="73" fillId="0" borderId="32" xfId="0" applyFont="1" applyBorder="1" applyAlignment="1">
      <alignment vertical="center"/>
    </xf>
    <xf numFmtId="0" fontId="10" fillId="0" borderId="25" xfId="0" applyNumberFormat="1" applyFont="1" applyBorder="1" applyAlignment="1">
      <alignment horizontal="left" wrapText="1"/>
    </xf>
    <xf numFmtId="14" fontId="10" fillId="0" borderId="23" xfId="0" applyNumberFormat="1" applyFont="1" applyBorder="1" applyAlignment="1">
      <alignment horizontal="left" vertical="top"/>
    </xf>
    <xf numFmtId="0" fontId="10" fillId="0" borderId="35" xfId="0" applyNumberFormat="1" applyFont="1" applyBorder="1" applyAlignment="1">
      <alignment horizontal="left" wrapText="1"/>
    </xf>
    <xf numFmtId="49" fontId="76" fillId="4" borderId="65" xfId="0" applyNumberFormat="1" applyFont="1" applyFill="1" applyBorder="1" applyAlignment="1" applyProtection="1">
      <alignment horizontal="center" vertical="top" wrapText="1"/>
      <protection locked="0"/>
    </xf>
    <xf numFmtId="49" fontId="76" fillId="4" borderId="66" xfId="0" applyNumberFormat="1" applyFont="1" applyFill="1" applyBorder="1" applyAlignment="1" applyProtection="1">
      <alignment horizontal="center" vertical="top" wrapText="1"/>
      <protection locked="0"/>
    </xf>
    <xf numFmtId="49" fontId="76" fillId="4" borderId="67" xfId="0" applyNumberFormat="1" applyFont="1" applyFill="1" applyBorder="1" applyAlignment="1" applyProtection="1">
      <alignment horizontal="center" vertical="top" wrapText="1"/>
      <protection locked="0"/>
    </xf>
    <xf numFmtId="49" fontId="76" fillId="4" borderId="61" xfId="0" applyNumberFormat="1" applyFont="1" applyFill="1" applyBorder="1" applyAlignment="1" applyProtection="1">
      <alignment horizontal="center" vertical="top" wrapText="1"/>
      <protection locked="0"/>
    </xf>
    <xf numFmtId="49" fontId="76" fillId="4" borderId="0" xfId="0" applyNumberFormat="1" applyFont="1" applyFill="1" applyBorder="1" applyAlignment="1" applyProtection="1">
      <alignment horizontal="center" vertical="top" wrapText="1"/>
      <protection locked="0"/>
    </xf>
    <xf numFmtId="49" fontId="76" fillId="4" borderId="18" xfId="0" applyNumberFormat="1" applyFont="1" applyFill="1" applyBorder="1" applyAlignment="1" applyProtection="1">
      <alignment horizontal="center" vertical="top" wrapText="1"/>
      <protection locked="0"/>
    </xf>
    <xf numFmtId="49" fontId="76" fillId="4" borderId="44" xfId="0" applyNumberFormat="1" applyFont="1" applyFill="1" applyBorder="1" applyAlignment="1" applyProtection="1">
      <alignment horizontal="center" vertical="top" wrapText="1"/>
      <protection locked="0"/>
    </xf>
    <xf numFmtId="49" fontId="76" fillId="4" borderId="5" xfId="0" applyNumberFormat="1" applyFont="1" applyFill="1" applyBorder="1" applyAlignment="1" applyProtection="1">
      <alignment horizontal="center" vertical="top" wrapText="1"/>
      <protection locked="0"/>
    </xf>
    <xf numFmtId="49" fontId="76" fillId="4" borderId="32" xfId="0" applyNumberFormat="1" applyFont="1" applyFill="1" applyBorder="1" applyAlignment="1" applyProtection="1">
      <alignment horizontal="center" vertical="top" wrapText="1"/>
      <protection locked="0"/>
    </xf>
    <xf numFmtId="171" fontId="16" fillId="0" borderId="9" xfId="0" applyFont="1" applyBorder="1" applyAlignment="1" applyProtection="1">
      <alignment horizontal="left" vertical="center"/>
    </xf>
    <xf numFmtId="171" fontId="16" fillId="0" borderId="12" xfId="0" applyFont="1" applyBorder="1" applyAlignment="1" applyProtection="1">
      <alignment horizontal="left" vertical="center"/>
    </xf>
    <xf numFmtId="171" fontId="16" fillId="0" borderId="74" xfId="0" applyFont="1" applyBorder="1" applyAlignment="1" applyProtection="1">
      <alignment horizontal="left" vertical="center"/>
    </xf>
    <xf numFmtId="171" fontId="16" fillId="0" borderId="46" xfId="0" applyFont="1" applyBorder="1" applyAlignment="1" applyProtection="1">
      <alignment horizontal="left" vertical="center"/>
    </xf>
    <xf numFmtId="168" fontId="16" fillId="0" borderId="9" xfId="1" applyNumberFormat="1" applyFont="1" applyFill="1" applyBorder="1" applyAlignment="1" applyProtection="1">
      <alignment horizontal="left" vertical="center" wrapText="1"/>
    </xf>
    <xf numFmtId="168" fontId="16" fillId="0" borderId="12" xfId="1" applyNumberFormat="1" applyFont="1" applyFill="1" applyBorder="1" applyAlignment="1" applyProtection="1">
      <alignment horizontal="left" vertical="center" wrapText="1"/>
    </xf>
    <xf numFmtId="171" fontId="21" fillId="0" borderId="9" xfId="0" applyFont="1" applyBorder="1" applyAlignment="1" applyProtection="1">
      <alignment horizontal="left" vertical="center"/>
    </xf>
    <xf numFmtId="171" fontId="21" fillId="0" borderId="12" xfId="0" applyFont="1" applyBorder="1" applyAlignment="1" applyProtection="1">
      <alignment horizontal="left" vertical="center"/>
    </xf>
    <xf numFmtId="171" fontId="75" fillId="0" borderId="0" xfId="0" applyFont="1" applyFill="1" applyAlignment="1" applyProtection="1">
      <alignment horizontal="center"/>
    </xf>
    <xf numFmtId="49" fontId="79" fillId="4" borderId="20" xfId="0" applyNumberFormat="1" applyFont="1" applyFill="1" applyBorder="1" applyAlignment="1" applyProtection="1">
      <alignment horizontal="center" vertical="center"/>
      <protection locked="0"/>
    </xf>
    <xf numFmtId="171" fontId="79" fillId="0" borderId="20" xfId="0" applyNumberFormat="1" applyFont="1" applyFill="1" applyBorder="1" applyAlignment="1" applyProtection="1">
      <alignment horizontal="center" vertical="center"/>
    </xf>
    <xf numFmtId="49" fontId="16" fillId="4" borderId="4" xfId="0" applyNumberFormat="1" applyFont="1" applyFill="1" applyBorder="1" applyAlignment="1" applyProtection="1">
      <alignment horizontal="center" vertical="center"/>
      <protection locked="0"/>
    </xf>
    <xf numFmtId="49" fontId="76" fillId="4" borderId="4" xfId="0" applyNumberFormat="1" applyFont="1" applyFill="1" applyBorder="1" applyAlignment="1" applyProtection="1">
      <alignment horizontal="center" vertical="center"/>
      <protection locked="0"/>
    </xf>
    <xf numFmtId="171" fontId="80" fillId="0" borderId="0" xfId="0" applyFont="1" applyAlignment="1" applyProtection="1">
      <alignment horizontal="left" vertical="center" wrapText="1" indent="1"/>
    </xf>
    <xf numFmtId="168" fontId="16" fillId="0" borderId="55" xfId="1" applyNumberFormat="1" applyFont="1" applyFill="1" applyBorder="1" applyAlignment="1" applyProtection="1">
      <alignment horizontal="left" vertical="center" wrapText="1"/>
    </xf>
    <xf numFmtId="168" fontId="16" fillId="0" borderId="11" xfId="1" applyNumberFormat="1" applyFont="1" applyFill="1" applyBorder="1" applyAlignment="1" applyProtection="1">
      <alignment horizontal="left" vertical="center" wrapText="1"/>
    </xf>
    <xf numFmtId="171" fontId="82" fillId="15" borderId="23" xfId="0" applyFont="1" applyFill="1" applyBorder="1" applyAlignment="1" applyProtection="1">
      <alignment horizontal="center"/>
    </xf>
    <xf numFmtId="171" fontId="82" fillId="15" borderId="35" xfId="0" applyFont="1" applyFill="1" applyBorder="1" applyAlignment="1" applyProtection="1">
      <alignment horizontal="center"/>
    </xf>
    <xf numFmtId="171" fontId="82" fillId="15" borderId="25" xfId="0" applyFont="1" applyFill="1" applyBorder="1" applyAlignment="1" applyProtection="1">
      <alignment horizontal="center"/>
    </xf>
    <xf numFmtId="171" fontId="80" fillId="0" borderId="0" xfId="0" applyFont="1" applyBorder="1" applyAlignment="1" applyProtection="1">
      <alignment horizontal="left" vertical="center" wrapText="1"/>
    </xf>
    <xf numFmtId="171" fontId="21" fillId="0" borderId="0" xfId="0" applyFont="1" applyAlignment="1" applyProtection="1">
      <alignment horizontal="center"/>
    </xf>
    <xf numFmtId="3" fontId="16" fillId="0" borderId="2" xfId="3" applyNumberFormat="1" applyFont="1" applyFill="1" applyBorder="1" applyAlignment="1" applyProtection="1">
      <alignment horizontal="left"/>
    </xf>
    <xf numFmtId="3" fontId="60" fillId="0" borderId="2" xfId="3" applyNumberFormat="1" applyFont="1" applyFill="1" applyBorder="1" applyAlignment="1" applyProtection="1">
      <alignment horizontal="left"/>
    </xf>
    <xf numFmtId="171" fontId="60" fillId="0" borderId="9" xfId="0" applyFont="1" applyFill="1" applyBorder="1" applyAlignment="1" applyProtection="1">
      <alignment horizontal="left"/>
    </xf>
    <xf numFmtId="171" fontId="60" fillId="0" borderId="12" xfId="0" applyFont="1" applyFill="1" applyBorder="1" applyAlignment="1" applyProtection="1">
      <alignment horizontal="left"/>
    </xf>
    <xf numFmtId="171" fontId="61" fillId="0" borderId="23" xfId="0" applyFont="1" applyFill="1" applyBorder="1" applyAlignment="1" applyProtection="1">
      <alignment horizontal="left"/>
    </xf>
    <xf numFmtId="171" fontId="61" fillId="0" borderId="26" xfId="0" applyFont="1" applyFill="1" applyBorder="1" applyAlignment="1" applyProtection="1">
      <alignment horizontal="left"/>
    </xf>
    <xf numFmtId="171" fontId="21" fillId="0" borderId="0" xfId="0" applyFont="1" applyFill="1" applyAlignment="1" applyProtection="1">
      <alignment horizontal="right" vertical="center"/>
    </xf>
    <xf numFmtId="171" fontId="21" fillId="0" borderId="1" xfId="0" applyFont="1" applyFill="1" applyBorder="1" applyAlignment="1" applyProtection="1">
      <alignment horizontal="right" vertical="center"/>
    </xf>
    <xf numFmtId="171" fontId="61" fillId="0" borderId="4" xfId="0" applyFont="1" applyFill="1" applyBorder="1" applyAlignment="1" applyProtection="1">
      <alignment horizontal="left"/>
    </xf>
    <xf numFmtId="171" fontId="16" fillId="0" borderId="9" xfId="0" applyFont="1" applyFill="1" applyBorder="1" applyAlignment="1" applyProtection="1">
      <alignment horizontal="left"/>
    </xf>
    <xf numFmtId="171" fontId="16" fillId="0" borderId="9" xfId="0" applyFont="1" applyBorder="1" applyAlignment="1" applyProtection="1">
      <alignment horizontal="left"/>
    </xf>
    <xf numFmtId="171" fontId="16" fillId="0" borderId="12" xfId="0" applyFont="1" applyBorder="1" applyAlignment="1" applyProtection="1">
      <alignment horizontal="left"/>
    </xf>
    <xf numFmtId="49" fontId="16" fillId="4" borderId="60" xfId="3" applyNumberFormat="1" applyFont="1" applyFill="1" applyBorder="1" applyAlignment="1" applyProtection="1">
      <alignment horizontal="left" vertical="top" wrapText="1"/>
      <protection locked="0"/>
    </xf>
    <xf numFmtId="49" fontId="60" fillId="4" borderId="56" xfId="3" applyNumberFormat="1" applyFont="1" applyFill="1" applyBorder="1" applyAlignment="1" applyProtection="1">
      <alignment horizontal="left" vertical="top" wrapText="1"/>
      <protection locked="0"/>
    </xf>
    <xf numFmtId="49" fontId="60" fillId="4" borderId="57" xfId="3" applyNumberFormat="1" applyFont="1" applyFill="1" applyBorder="1" applyAlignment="1" applyProtection="1">
      <alignment horizontal="left" vertical="top" wrapText="1"/>
      <protection locked="0"/>
    </xf>
    <xf numFmtId="49" fontId="60" fillId="4" borderId="61" xfId="3" applyNumberFormat="1" applyFont="1" applyFill="1" applyBorder="1" applyAlignment="1" applyProtection="1">
      <alignment horizontal="left" vertical="top" wrapText="1"/>
      <protection locked="0"/>
    </xf>
    <xf numFmtId="49" fontId="60" fillId="4" borderId="0" xfId="3" applyNumberFormat="1" applyFont="1" applyFill="1" applyBorder="1" applyAlignment="1" applyProtection="1">
      <alignment horizontal="left" vertical="top" wrapText="1"/>
      <protection locked="0"/>
    </xf>
    <xf numFmtId="49" fontId="60" fillId="4" borderId="18" xfId="3" applyNumberFormat="1" applyFont="1" applyFill="1" applyBorder="1" applyAlignment="1" applyProtection="1">
      <alignment horizontal="left" vertical="top" wrapText="1"/>
      <protection locked="0"/>
    </xf>
    <xf numFmtId="49" fontId="60" fillId="4" borderId="44" xfId="3" applyNumberFormat="1" applyFont="1" applyFill="1" applyBorder="1" applyAlignment="1" applyProtection="1">
      <alignment horizontal="left" vertical="top" wrapText="1"/>
      <protection locked="0"/>
    </xf>
    <xf numFmtId="49" fontId="60" fillId="4" borderId="5" xfId="3" applyNumberFormat="1" applyFont="1" applyFill="1" applyBorder="1" applyAlignment="1" applyProtection="1">
      <alignment horizontal="left" vertical="top" wrapText="1"/>
      <protection locked="0"/>
    </xf>
    <xf numFmtId="49" fontId="60" fillId="4" borderId="32" xfId="3" applyNumberFormat="1" applyFont="1" applyFill="1" applyBorder="1" applyAlignment="1" applyProtection="1">
      <alignment horizontal="left" vertical="top" wrapText="1"/>
      <protection locked="0"/>
    </xf>
    <xf numFmtId="171" fontId="61" fillId="0" borderId="25" xfId="0" applyFont="1" applyFill="1" applyBorder="1" applyAlignment="1" applyProtection="1">
      <alignment horizontal="left"/>
    </xf>
    <xf numFmtId="171" fontId="60" fillId="0" borderId="12" xfId="0" applyFont="1" applyBorder="1" applyAlignment="1" applyProtection="1">
      <alignment horizontal="left"/>
    </xf>
    <xf numFmtId="164" fontId="63" fillId="0" borderId="66" xfId="0" applyNumberFormat="1" applyFont="1" applyBorder="1" applyAlignment="1" applyProtection="1">
      <alignment horizontal="center"/>
    </xf>
    <xf numFmtId="171" fontId="16" fillId="0" borderId="65" xfId="0" applyFont="1" applyBorder="1" applyAlignment="1" applyProtection="1">
      <alignment horizontal="center"/>
    </xf>
    <xf numFmtId="171" fontId="16" fillId="0" borderId="67" xfId="0" applyFont="1" applyBorder="1" applyAlignment="1" applyProtection="1">
      <alignment horizontal="center"/>
    </xf>
    <xf numFmtId="171" fontId="21" fillId="0" borderId="0" xfId="0" applyFont="1" applyAlignment="1" applyProtection="1">
      <alignment horizontal="center" vertical="center"/>
    </xf>
    <xf numFmtId="173" fontId="16" fillId="0" borderId="0" xfId="0" applyNumberFormat="1" applyFont="1" applyAlignment="1" applyProtection="1">
      <alignment horizontal="right" vertical="center"/>
    </xf>
    <xf numFmtId="171" fontId="21" fillId="0" borderId="0" xfId="0" applyFont="1" applyAlignment="1" applyProtection="1">
      <alignment horizontal="right" vertical="center"/>
    </xf>
    <xf numFmtId="171" fontId="16" fillId="4" borderId="47" xfId="0" applyFont="1" applyFill="1" applyBorder="1" applyAlignment="1" applyProtection="1">
      <alignment horizontal="left" vertical="center"/>
      <protection locked="0"/>
    </xf>
    <xf numFmtId="171" fontId="0" fillId="0" borderId="12" xfId="0" applyBorder="1" applyAlignment="1" applyProtection="1">
      <alignment horizontal="left" vertical="center"/>
      <protection locked="0"/>
    </xf>
    <xf numFmtId="171" fontId="31" fillId="34" borderId="47" xfId="0" applyFont="1" applyFill="1" applyBorder="1" applyAlignment="1" applyProtection="1">
      <alignment horizontal="left" vertical="center"/>
    </xf>
    <xf numFmtId="171" fontId="31" fillId="34" borderId="12" xfId="0" applyFont="1" applyFill="1" applyBorder="1" applyAlignment="1" applyProtection="1">
      <alignment horizontal="left" vertical="center"/>
    </xf>
    <xf numFmtId="171" fontId="21" fillId="15" borderId="73" xfId="0" applyFont="1" applyFill="1" applyBorder="1" applyAlignment="1" applyProtection="1">
      <alignment horizontal="center" vertical="center"/>
    </xf>
    <xf numFmtId="171" fontId="21" fillId="15" borderId="28" xfId="0" applyFont="1" applyFill="1" applyBorder="1" applyAlignment="1" applyProtection="1">
      <alignment horizontal="center" vertical="center"/>
    </xf>
    <xf numFmtId="171" fontId="21" fillId="35" borderId="45" xfId="0" applyFont="1" applyFill="1" applyBorder="1" applyAlignment="1" applyProtection="1">
      <alignment horizontal="center" vertical="center" wrapText="1"/>
    </xf>
    <xf numFmtId="171" fontId="21" fillId="3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31" fillId="12" borderId="50" xfId="0" applyFont="1" applyFill="1" applyBorder="1" applyAlignment="1" applyProtection="1">
      <alignment horizontal="left" vertical="center"/>
    </xf>
    <xf numFmtId="171" fontId="31" fillId="12" borderId="14" xfId="0" applyFont="1" applyFill="1" applyBorder="1" applyAlignment="1" applyProtection="1">
      <alignment horizontal="left" vertical="center"/>
    </xf>
    <xf numFmtId="171" fontId="16" fillId="4" borderId="72" xfId="0" applyFont="1" applyFill="1" applyBorder="1" applyAlignment="1" applyProtection="1">
      <alignment horizontal="left" vertical="center"/>
      <protection locked="0"/>
    </xf>
    <xf numFmtId="171" fontId="0" fillId="0" borderId="13" xfId="0" applyBorder="1" applyAlignment="1" applyProtection="1">
      <alignment horizontal="left" vertical="center"/>
      <protection locked="0"/>
    </xf>
    <xf numFmtId="171" fontId="31" fillId="34" borderId="72" xfId="0" applyFont="1" applyFill="1" applyBorder="1" applyAlignment="1" applyProtection="1">
      <alignment horizontal="left" vertical="center"/>
    </xf>
    <xf numFmtId="171" fontId="31" fillId="34" borderId="13" xfId="0" applyFont="1" applyFill="1" applyBorder="1" applyAlignment="1" applyProtection="1">
      <alignment horizontal="left" vertical="center"/>
    </xf>
    <xf numFmtId="164" fontId="16" fillId="33" borderId="23" xfId="3" applyNumberFormat="1" applyFont="1" applyFill="1" applyBorder="1" applyAlignment="1" applyProtection="1">
      <alignment horizontal="left" vertical="center"/>
    </xf>
    <xf numFmtId="164" fontId="16" fillId="33" borderId="26" xfId="3" applyNumberFormat="1" applyFont="1" applyFill="1" applyBorder="1" applyAlignment="1" applyProtection="1">
      <alignment horizontal="left" vertical="center"/>
    </xf>
    <xf numFmtId="171" fontId="21" fillId="0" borderId="23" xfId="0" applyFont="1" applyBorder="1" applyAlignment="1" applyProtection="1">
      <alignment horizontal="left" vertical="center" wrapText="1"/>
    </xf>
    <xf numFmtId="171" fontId="21" fillId="0" borderId="26" xfId="0" applyFont="1" applyBorder="1" applyAlignment="1" applyProtection="1">
      <alignment horizontal="left" vertical="center" wrapText="1"/>
    </xf>
    <xf numFmtId="164" fontId="16" fillId="3" borderId="23" xfId="3" applyNumberFormat="1" applyFont="1" applyFill="1" applyBorder="1" applyAlignment="1" applyProtection="1">
      <alignment horizontal="left" vertical="center"/>
    </xf>
    <xf numFmtId="164" fontId="16" fillId="3" borderId="26" xfId="3" applyNumberFormat="1" applyFont="1" applyFill="1" applyBorder="1" applyAlignment="1" applyProtection="1">
      <alignment horizontal="left" vertical="center"/>
    </xf>
    <xf numFmtId="171" fontId="31" fillId="12" borderId="47" xfId="0" applyFont="1" applyFill="1" applyBorder="1" applyAlignment="1" applyProtection="1">
      <alignment horizontal="left" vertical="center"/>
    </xf>
    <xf numFmtId="171" fontId="31" fillId="12" borderId="12" xfId="0" applyFont="1" applyFill="1" applyBorder="1" applyAlignment="1" applyProtection="1">
      <alignment horizontal="left" vertical="center"/>
    </xf>
    <xf numFmtId="171" fontId="21" fillId="15" borderId="23"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wrapText="1"/>
    </xf>
    <xf numFmtId="171" fontId="21" fillId="15" borderId="27" xfId="0" applyFont="1" applyFill="1" applyBorder="1" applyAlignment="1" applyProtection="1">
      <alignment horizontal="center" vertical="center" wrapText="1"/>
    </xf>
    <xf numFmtId="171" fontId="16" fillId="4" borderId="47" xfId="47" applyFont="1" applyFill="1" applyBorder="1" applyAlignment="1" applyProtection="1">
      <alignment horizontal="left" vertical="center"/>
      <protection locked="0"/>
    </xf>
    <xf numFmtId="171" fontId="16" fillId="4" borderId="12" xfId="47" applyFont="1" applyFill="1" applyBorder="1" applyAlignment="1" applyProtection="1">
      <alignment horizontal="left" vertical="center"/>
      <protection locked="0"/>
    </xf>
    <xf numFmtId="171" fontId="21" fillId="15" borderId="49" xfId="0" applyFont="1" applyFill="1" applyBorder="1" applyAlignment="1" applyProtection="1">
      <alignment horizontal="center" vertical="center"/>
    </xf>
    <xf numFmtId="171" fontId="21" fillId="15" borderId="27" xfId="0" applyFont="1" applyFill="1" applyBorder="1" applyAlignment="1" applyProtection="1">
      <alignment horizontal="center" vertical="center"/>
    </xf>
    <xf numFmtId="171" fontId="31" fillId="12" borderId="48" xfId="0" applyFont="1" applyFill="1" applyBorder="1" applyAlignment="1" applyProtection="1">
      <alignment horizontal="left" vertical="center"/>
    </xf>
    <xf numFmtId="171" fontId="31" fillId="12" borderId="46" xfId="0" applyFont="1" applyFill="1" applyBorder="1" applyAlignment="1" applyProtection="1">
      <alignment horizontal="left" vertical="center"/>
    </xf>
    <xf numFmtId="164" fontId="16" fillId="0" borderId="44" xfId="3" applyNumberFormat="1" applyFont="1" applyBorder="1" applyAlignment="1" applyProtection="1">
      <alignment horizontal="left" vertical="center"/>
    </xf>
    <xf numFmtId="164" fontId="16" fillId="0" borderId="45" xfId="3" applyNumberFormat="1" applyFont="1" applyBorder="1" applyAlignment="1" applyProtection="1">
      <alignment horizontal="left" vertical="center"/>
    </xf>
    <xf numFmtId="49" fontId="16" fillId="4" borderId="62" xfId="3" applyNumberFormat="1" applyFont="1" applyFill="1" applyBorder="1" applyAlignment="1" applyProtection="1">
      <alignment horizontal="left" vertical="center" wrapText="1"/>
      <protection locked="0"/>
    </xf>
    <xf numFmtId="49" fontId="16" fillId="4" borderId="63" xfId="3" applyNumberFormat="1" applyFont="1" applyFill="1" applyBorder="1" applyAlignment="1" applyProtection="1">
      <alignment horizontal="left" vertical="center" wrapText="1"/>
      <protection locked="0"/>
    </xf>
    <xf numFmtId="49" fontId="16" fillId="4" borderId="64" xfId="3" applyNumberFormat="1" applyFont="1" applyFill="1" applyBorder="1" applyAlignment="1" applyProtection="1">
      <alignment horizontal="left" vertical="center" wrapText="1"/>
      <protection locked="0"/>
    </xf>
    <xf numFmtId="49" fontId="16" fillId="4" borderId="61" xfId="3" applyNumberFormat="1" applyFont="1" applyFill="1" applyBorder="1" applyAlignment="1" applyProtection="1">
      <alignment horizontal="left" vertical="center" wrapText="1"/>
      <protection locked="0"/>
    </xf>
    <xf numFmtId="49" fontId="16" fillId="4" borderId="0" xfId="3" applyNumberFormat="1" applyFont="1" applyFill="1" applyBorder="1" applyAlignment="1" applyProtection="1">
      <alignment horizontal="left" vertical="center" wrapText="1"/>
      <protection locked="0"/>
    </xf>
    <xf numFmtId="49" fontId="16" fillId="4" borderId="18" xfId="3" applyNumberFormat="1" applyFont="1" applyFill="1" applyBorder="1" applyAlignment="1" applyProtection="1">
      <alignment horizontal="left" vertical="center" wrapText="1"/>
      <protection locked="0"/>
    </xf>
    <xf numFmtId="49" fontId="16" fillId="4" borderId="44" xfId="3" applyNumberFormat="1" applyFont="1" applyFill="1" applyBorder="1" applyAlignment="1" applyProtection="1">
      <alignment horizontal="left" vertical="center" wrapText="1"/>
      <protection locked="0"/>
    </xf>
    <xf numFmtId="49" fontId="16" fillId="4" borderId="5" xfId="3" applyNumberFormat="1" applyFont="1" applyFill="1" applyBorder="1" applyAlignment="1" applyProtection="1">
      <alignment horizontal="left" vertical="center" wrapText="1"/>
      <protection locked="0"/>
    </xf>
    <xf numFmtId="49" fontId="16" fillId="4" borderId="32" xfId="3" applyNumberFormat="1" applyFont="1" applyFill="1" applyBorder="1" applyAlignment="1" applyProtection="1">
      <alignment horizontal="left" vertical="center" wrapText="1"/>
      <protection locked="0"/>
    </xf>
    <xf numFmtId="165" fontId="21" fillId="10" borderId="23" xfId="3" applyNumberFormat="1" applyFont="1" applyFill="1" applyBorder="1" applyAlignment="1" applyProtection="1">
      <alignment horizontal="right" vertical="center"/>
    </xf>
    <xf numFmtId="165" fontId="21" fillId="10" borderId="35" xfId="3" applyNumberFormat="1" applyFont="1" applyFill="1" applyBorder="1" applyAlignment="1" applyProtection="1">
      <alignment horizontal="right" vertical="center"/>
    </xf>
    <xf numFmtId="165" fontId="21" fillId="10" borderId="26" xfId="3" applyNumberFormat="1" applyFont="1" applyFill="1" applyBorder="1" applyAlignment="1" applyProtection="1">
      <alignment horizontal="right" vertical="center"/>
    </xf>
    <xf numFmtId="171" fontId="16" fillId="0" borderId="0" xfId="0" applyFont="1" applyAlignment="1" applyProtection="1">
      <alignment horizontal="right" indent="1"/>
    </xf>
    <xf numFmtId="171" fontId="16" fillId="0" borderId="0" xfId="0" applyFont="1" applyAlignment="1" applyProtection="1">
      <alignment horizontal="right" vertical="center" indent="1"/>
    </xf>
    <xf numFmtId="171" fontId="16" fillId="4" borderId="48" xfId="0" applyFont="1" applyFill="1" applyBorder="1" applyAlignment="1" applyProtection="1">
      <alignment horizontal="left" vertical="center"/>
      <protection locked="0"/>
    </xf>
    <xf numFmtId="171" fontId="0" fillId="0" borderId="46" xfId="0" applyBorder="1" applyAlignment="1" applyProtection="1">
      <alignment horizontal="left" vertical="center"/>
      <protection locked="0"/>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7" fillId="12" borderId="12" xfId="0" applyFont="1" applyFill="1" applyBorder="1" applyAlignment="1" applyProtection="1">
      <alignment horizontal="left"/>
    </xf>
    <xf numFmtId="171" fontId="27" fillId="0" borderId="2" xfId="0" applyFont="1" applyBorder="1" applyAlignment="1" applyProtection="1">
      <alignment horizontal="left"/>
    </xf>
    <xf numFmtId="171" fontId="45" fillId="0" borderId="2" xfId="0" applyFont="1" applyBorder="1" applyAlignment="1" applyProtection="1">
      <alignment horizontal="left"/>
    </xf>
    <xf numFmtId="171" fontId="45" fillId="0" borderId="9" xfId="0" applyFont="1" applyBorder="1" applyAlignment="1" applyProtection="1">
      <alignment horizontal="left"/>
    </xf>
    <xf numFmtId="171" fontId="23" fillId="0" borderId="9" xfId="0" applyFont="1" applyBorder="1" applyAlignment="1" applyProtection="1">
      <alignment horizontal="left"/>
    </xf>
    <xf numFmtId="171" fontId="48" fillId="0" borderId="20" xfId="0" applyFont="1" applyBorder="1" applyAlignment="1" applyProtection="1">
      <alignment horizontal="left"/>
    </xf>
    <xf numFmtId="171" fontId="48" fillId="0" borderId="12" xfId="0" applyFont="1" applyBorder="1" applyAlignment="1" applyProtection="1">
      <alignment horizontal="left"/>
    </xf>
    <xf numFmtId="171" fontId="23" fillId="0" borderId="2" xfId="0" applyFont="1" applyBorder="1" applyAlignment="1" applyProtection="1">
      <alignment horizontal="left"/>
    </xf>
    <xf numFmtId="171" fontId="48" fillId="0" borderId="2" xfId="0" applyFont="1" applyBorder="1" applyAlignment="1" applyProtection="1">
      <alignment horizontal="left"/>
    </xf>
    <xf numFmtId="171" fontId="48" fillId="4" borderId="20" xfId="0" applyFont="1" applyFill="1" applyBorder="1" applyAlignment="1" applyProtection="1">
      <alignment horizontal="left"/>
      <protection locked="0"/>
    </xf>
    <xf numFmtId="171" fontId="48" fillId="4" borderId="12" xfId="0" applyFont="1" applyFill="1" applyBorder="1" applyAlignment="1" applyProtection="1">
      <alignment horizontal="left"/>
      <protection locked="0"/>
    </xf>
    <xf numFmtId="171" fontId="23" fillId="0" borderId="33" xfId="0" applyFont="1" applyBorder="1" applyAlignment="1" applyProtection="1">
      <alignment horizontal="left"/>
    </xf>
    <xf numFmtId="171" fontId="48" fillId="0" borderId="4"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45" fillId="0" borderId="12" xfId="0" applyFont="1" applyBorder="1" applyAlignment="1" applyProtection="1">
      <alignment horizontal="left"/>
    </xf>
    <xf numFmtId="171" fontId="27" fillId="0" borderId="20" xfId="0" applyFont="1" applyBorder="1" applyAlignment="1" applyProtection="1">
      <alignment horizontal="left"/>
    </xf>
    <xf numFmtId="171" fontId="27" fillId="0" borderId="12"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7" fillId="0" borderId="9" xfId="0" applyFont="1" applyBorder="1" applyAlignment="1" applyProtection="1"/>
    <xf numFmtId="171" fontId="27" fillId="0" borderId="20" xfId="0" applyFont="1" applyBorder="1" applyAlignment="1" applyProtection="1"/>
    <xf numFmtId="171" fontId="27" fillId="0" borderId="12" xfId="0" applyFont="1" applyBorder="1" applyAlignment="1" applyProtection="1"/>
    <xf numFmtId="171" fontId="23" fillId="4" borderId="20" xfId="0" applyFont="1" applyFill="1" applyBorder="1" applyAlignment="1" applyProtection="1">
      <alignment horizontal="left"/>
      <protection locked="0"/>
    </xf>
    <xf numFmtId="49" fontId="16" fillId="4" borderId="42" xfId="3" applyNumberFormat="1" applyFont="1" applyFill="1" applyBorder="1" applyAlignment="1" applyProtection="1">
      <alignment horizontal="left" vertical="top" wrapText="1"/>
      <protection locked="0"/>
    </xf>
    <xf numFmtId="49" fontId="46" fillId="4" borderId="15" xfId="3" applyNumberFormat="1" applyFont="1" applyFill="1" applyBorder="1" applyAlignment="1" applyProtection="1">
      <alignment horizontal="left" vertical="top" wrapText="1"/>
      <protection locked="0"/>
    </xf>
    <xf numFmtId="49" fontId="46" fillId="4" borderId="16" xfId="3" applyNumberFormat="1" applyFont="1" applyFill="1" applyBorder="1" applyAlignment="1" applyProtection="1">
      <alignment horizontal="left" vertical="top" wrapText="1"/>
      <protection locked="0"/>
    </xf>
    <xf numFmtId="49" fontId="46" fillId="4" borderId="43" xfId="3" applyNumberFormat="1" applyFont="1" applyFill="1" applyBorder="1" applyAlignment="1" applyProtection="1">
      <alignment horizontal="left" vertical="top" wrapText="1"/>
      <protection locked="0"/>
    </xf>
    <xf numFmtId="49" fontId="46" fillId="4" borderId="0" xfId="3" applyNumberFormat="1" applyFont="1" applyFill="1" applyBorder="1" applyAlignment="1" applyProtection="1">
      <alignment horizontal="left" vertical="top" wrapText="1"/>
      <protection locked="0"/>
    </xf>
    <xf numFmtId="49" fontId="46" fillId="4" borderId="18" xfId="3" applyNumberFormat="1" applyFont="1" applyFill="1" applyBorder="1" applyAlignment="1" applyProtection="1">
      <alignment horizontal="left" vertical="top" wrapText="1"/>
      <protection locked="0"/>
    </xf>
    <xf numFmtId="49" fontId="46" fillId="4" borderId="44" xfId="3" applyNumberFormat="1" applyFont="1" applyFill="1" applyBorder="1" applyAlignment="1" applyProtection="1">
      <alignment horizontal="left" vertical="top" wrapText="1"/>
      <protection locked="0"/>
    </xf>
    <xf numFmtId="49" fontId="46" fillId="4" borderId="5" xfId="3" applyNumberFormat="1" applyFont="1" applyFill="1" applyBorder="1" applyAlignment="1" applyProtection="1">
      <alignment horizontal="left" vertical="top" wrapText="1"/>
      <protection locked="0"/>
    </xf>
    <xf numFmtId="49" fontId="46" fillId="4" borderId="32" xfId="3" applyNumberFormat="1" applyFont="1" applyFill="1" applyBorder="1" applyAlignment="1" applyProtection="1">
      <alignment horizontal="left" vertical="top" wrapText="1"/>
      <protection locked="0"/>
    </xf>
    <xf numFmtId="171" fontId="23" fillId="0" borderId="0" xfId="0" applyFont="1" applyBorder="1" applyAlignment="1" applyProtection="1">
      <alignment horizontal="right"/>
    </xf>
    <xf numFmtId="171" fontId="48" fillId="0" borderId="0" xfId="0" applyFont="1" applyBorder="1" applyAlignment="1" applyProtection="1">
      <alignment horizontal="righ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45" fillId="0" borderId="33" xfId="0" applyFont="1" applyBorder="1" applyAlignment="1" applyProtection="1">
      <alignment horizontal="left"/>
    </xf>
    <xf numFmtId="171" fontId="45" fillId="0" borderId="4" xfId="0" applyFont="1" applyBorder="1" applyAlignment="1" applyProtection="1">
      <alignment horizontal="left"/>
    </xf>
    <xf numFmtId="171" fontId="23" fillId="0" borderId="33" xfId="0" applyFont="1" applyFill="1" applyBorder="1" applyAlignment="1" applyProtection="1">
      <alignment horizontal="left"/>
    </xf>
    <xf numFmtId="171" fontId="48" fillId="0" borderId="4" xfId="0" applyFont="1" applyFill="1" applyBorder="1" applyAlignment="1" applyProtection="1">
      <alignment horizontal="left"/>
    </xf>
    <xf numFmtId="171" fontId="48" fillId="0" borderId="14" xfId="0" applyFont="1" applyFill="1" applyBorder="1" applyAlignment="1" applyProtection="1">
      <alignment horizontal="left"/>
    </xf>
    <xf numFmtId="171" fontId="45" fillId="0" borderId="22" xfId="0" applyFont="1" applyBorder="1" applyAlignment="1" applyProtection="1">
      <alignment horizontal="left"/>
    </xf>
    <xf numFmtId="171" fontId="45" fillId="0" borderId="21" xfId="0" applyFont="1" applyBorder="1" applyAlignment="1" applyProtection="1">
      <alignment horizontal="left"/>
    </xf>
    <xf numFmtId="171" fontId="45" fillId="0" borderId="13" xfId="0" applyFont="1" applyBorder="1" applyAlignment="1" applyProtection="1">
      <alignment horizontal="left"/>
    </xf>
    <xf numFmtId="171" fontId="48" fillId="0" borderId="14" xfId="0" applyFont="1" applyBorder="1" applyAlignment="1" applyProtection="1">
      <alignment horizontal="left"/>
    </xf>
    <xf numFmtId="171" fontId="27" fillId="0" borderId="4" xfId="0" applyFont="1" applyBorder="1" applyAlignment="1" applyProtection="1">
      <alignment horizontal="left"/>
    </xf>
    <xf numFmtId="171" fontId="26" fillId="4" borderId="0" xfId="0" applyFont="1" applyFill="1" applyAlignment="1" applyProtection="1">
      <alignment horizontal="left" vertical="center"/>
    </xf>
    <xf numFmtId="171" fontId="16" fillId="4" borderId="42" xfId="3" applyNumberFormat="1" applyFont="1" applyFill="1" applyBorder="1" applyAlignment="1" applyProtection="1">
      <alignment horizontal="left" vertical="center" wrapText="1"/>
      <protection locked="0"/>
    </xf>
    <xf numFmtId="171" fontId="16" fillId="4" borderId="15" xfId="3" applyNumberFormat="1" applyFont="1" applyFill="1" applyBorder="1" applyAlignment="1" applyProtection="1">
      <alignment horizontal="left" vertical="center" wrapText="1"/>
      <protection locked="0"/>
    </xf>
    <xf numFmtId="171" fontId="16" fillId="4" borderId="16" xfId="3" applyNumberFormat="1" applyFont="1" applyFill="1" applyBorder="1" applyAlignment="1" applyProtection="1">
      <alignment horizontal="left" vertical="center" wrapText="1"/>
      <protection locked="0"/>
    </xf>
    <xf numFmtId="171" fontId="16" fillId="4" borderId="43" xfId="3" applyNumberFormat="1" applyFont="1" applyFill="1" applyBorder="1" applyAlignment="1" applyProtection="1">
      <alignment horizontal="left" vertical="center" wrapText="1"/>
      <protection locked="0"/>
    </xf>
    <xf numFmtId="171" fontId="16" fillId="4" borderId="0" xfId="3" applyNumberFormat="1" applyFont="1" applyFill="1" applyBorder="1" applyAlignment="1" applyProtection="1">
      <alignment horizontal="left" vertical="center" wrapText="1"/>
      <protection locked="0"/>
    </xf>
    <xf numFmtId="171" fontId="16" fillId="4" borderId="18" xfId="3" applyNumberFormat="1" applyFont="1" applyFill="1" applyBorder="1" applyAlignment="1" applyProtection="1">
      <alignment horizontal="left" vertical="center" wrapText="1"/>
      <protection locked="0"/>
    </xf>
    <xf numFmtId="171" fontId="16" fillId="4" borderId="44" xfId="3" applyNumberFormat="1" applyFont="1" applyFill="1" applyBorder="1" applyAlignment="1" applyProtection="1">
      <alignment horizontal="left" vertical="center" wrapText="1"/>
      <protection locked="0"/>
    </xf>
    <xf numFmtId="171" fontId="16" fillId="4" borderId="5" xfId="3" applyNumberFormat="1" applyFont="1" applyFill="1" applyBorder="1" applyAlignment="1" applyProtection="1">
      <alignment horizontal="left" vertical="center" wrapText="1"/>
      <protection locked="0"/>
    </xf>
    <xf numFmtId="171" fontId="16" fillId="4" borderId="32" xfId="3" applyNumberFormat="1" applyFont="1" applyFill="1" applyBorder="1" applyAlignment="1" applyProtection="1">
      <alignment horizontal="left" vertical="center" wrapText="1"/>
      <protection locked="0"/>
    </xf>
    <xf numFmtId="171" fontId="31" fillId="0" borderId="9" xfId="0" applyFont="1" applyBorder="1" applyAlignment="1" applyProtection="1">
      <alignment horizontal="center" vertical="center"/>
    </xf>
    <xf numFmtId="171" fontId="31" fillId="0" borderId="12" xfId="0" applyFont="1" applyBorder="1" applyAlignment="1" applyProtection="1">
      <alignment horizontal="center" vertical="center"/>
    </xf>
    <xf numFmtId="171" fontId="31" fillId="0" borderId="9" xfId="0" applyFont="1" applyBorder="1" applyAlignment="1" applyProtection="1">
      <alignment horizontal="left" vertical="center"/>
    </xf>
    <xf numFmtId="171" fontId="31" fillId="0" borderId="20" xfId="0" applyFont="1" applyBorder="1" applyAlignment="1" applyProtection="1">
      <alignment horizontal="left" vertical="center"/>
    </xf>
    <xf numFmtId="171" fontId="16" fillId="0" borderId="0" xfId="0" applyNumberFormat="1" applyFont="1" applyFill="1" applyBorder="1" applyAlignment="1" applyProtection="1">
      <alignment horizontal="center" vertical="center"/>
    </xf>
    <xf numFmtId="171" fontId="30" fillId="0" borderId="9" xfId="0" applyFont="1" applyBorder="1" applyAlignment="1" applyProtection="1">
      <alignment horizontal="center" vertical="center"/>
    </xf>
    <xf numFmtId="171" fontId="30" fillId="0" borderId="12" xfId="0" applyFont="1" applyBorder="1" applyAlignment="1" applyProtection="1">
      <alignment horizontal="center" vertical="center"/>
    </xf>
    <xf numFmtId="171" fontId="39" fillId="0" borderId="0" xfId="0" applyFont="1" applyAlignment="1" applyProtection="1">
      <alignment horizontal="left" vertical="center" wrapText="1"/>
    </xf>
    <xf numFmtId="171" fontId="30" fillId="12" borderId="2" xfId="0" applyFont="1" applyFill="1" applyBorder="1" applyAlignment="1" applyProtection="1">
      <alignment horizontal="left" vertical="center"/>
    </xf>
    <xf numFmtId="171" fontId="31" fillId="0" borderId="12" xfId="0" applyFont="1" applyBorder="1" applyAlignment="1" applyProtection="1">
      <alignment horizontal="left" vertical="center"/>
    </xf>
    <xf numFmtId="14" fontId="27" fillId="0" borderId="0" xfId="0" applyNumberFormat="1" applyFont="1" applyAlignment="1" applyProtection="1">
      <alignment horizontal="left" vertical="center"/>
    </xf>
    <xf numFmtId="9" fontId="67" fillId="0" borderId="9" xfId="0" applyNumberFormat="1" applyFont="1" applyBorder="1" applyAlignment="1" applyProtection="1">
      <alignment horizontal="left" vertical="center"/>
    </xf>
    <xf numFmtId="9" fontId="67" fillId="0" borderId="12" xfId="0" applyNumberFormat="1" applyFont="1" applyBorder="1" applyAlignment="1" applyProtection="1">
      <alignment horizontal="left" vertical="center"/>
    </xf>
    <xf numFmtId="169" fontId="16" fillId="0" borderId="9" xfId="0" applyNumberFormat="1" applyFont="1" applyFill="1" applyBorder="1" applyAlignment="1" applyProtection="1">
      <alignment horizontal="left" vertical="center"/>
    </xf>
    <xf numFmtId="169" fontId="16" fillId="0" borderId="12" xfId="0" applyNumberFormat="1" applyFont="1" applyFill="1" applyBorder="1" applyAlignment="1" applyProtection="1">
      <alignment horizontal="left" vertical="center"/>
    </xf>
    <xf numFmtId="169" fontId="67" fillId="12" borderId="2" xfId="8" applyNumberFormat="1" applyFont="1" applyFill="1" applyBorder="1" applyAlignment="1" applyProtection="1">
      <alignment horizontal="center" vertical="center"/>
    </xf>
    <xf numFmtId="0" fontId="16" fillId="0" borderId="9" xfId="0" applyNumberFormat="1" applyFont="1" applyFill="1" applyBorder="1" applyAlignment="1" applyProtection="1">
      <alignment horizontal="left" vertical="center"/>
    </xf>
    <xf numFmtId="0" fontId="16" fillId="0" borderId="12" xfId="0" applyNumberFormat="1" applyFont="1" applyFill="1" applyBorder="1" applyAlignment="1" applyProtection="1">
      <alignment horizontal="left" vertical="center"/>
    </xf>
    <xf numFmtId="165" fontId="67" fillId="12" borderId="9" xfId="0" applyNumberFormat="1" applyFont="1" applyFill="1" applyBorder="1" applyAlignment="1" applyProtection="1">
      <alignment horizontal="left" vertical="center"/>
    </xf>
    <xf numFmtId="165" fontId="67" fillId="12" borderId="12" xfId="0" applyNumberFormat="1" applyFont="1" applyFill="1" applyBorder="1" applyAlignment="1" applyProtection="1">
      <alignment horizontal="left" vertical="center"/>
    </xf>
    <xf numFmtId="10" fontId="67" fillId="0" borderId="9" xfId="0" applyNumberFormat="1" applyFont="1" applyFill="1" applyBorder="1" applyAlignment="1" applyProtection="1">
      <alignment horizontal="left" vertical="center"/>
    </xf>
    <xf numFmtId="10" fontId="67" fillId="0" borderId="12" xfId="0" applyNumberFormat="1" applyFont="1" applyFill="1" applyBorder="1" applyAlignment="1" applyProtection="1">
      <alignment horizontal="left" vertical="center"/>
    </xf>
    <xf numFmtId="169" fontId="67" fillId="2" borderId="2" xfId="8" applyNumberFormat="1" applyFont="1" applyFill="1" applyBorder="1" applyAlignment="1" applyProtection="1">
      <alignment horizontal="center" vertical="center"/>
    </xf>
    <xf numFmtId="9" fontId="67" fillId="0" borderId="9" xfId="0" applyNumberFormat="1" applyFont="1" applyFill="1" applyBorder="1" applyAlignment="1" applyProtection="1">
      <alignment horizontal="left" vertical="center"/>
    </xf>
    <xf numFmtId="9" fontId="67" fillId="0" borderId="12" xfId="0" applyNumberFormat="1" applyFont="1" applyFill="1" applyBorder="1" applyAlignment="1" applyProtection="1">
      <alignment horizontal="left" vertical="center"/>
    </xf>
    <xf numFmtId="0" fontId="16" fillId="0" borderId="9" xfId="0" quotePrefix="1" applyNumberFormat="1" applyFont="1" applyFill="1" applyBorder="1" applyAlignment="1" applyProtection="1">
      <alignment horizontal="left" vertical="center"/>
    </xf>
    <xf numFmtId="0" fontId="16" fillId="0" borderId="12" xfId="0" quotePrefix="1" applyNumberFormat="1" applyFont="1" applyFill="1" applyBorder="1" applyAlignment="1" applyProtection="1">
      <alignment horizontal="left" vertical="center"/>
    </xf>
    <xf numFmtId="171" fontId="67" fillId="0" borderId="0" xfId="0" applyFont="1" applyFill="1" applyAlignment="1" applyProtection="1">
      <alignment horizontal="left" vertical="center" wrapText="1"/>
    </xf>
    <xf numFmtId="10" fontId="67" fillId="0" borderId="2" xfId="8" applyNumberFormat="1" applyFont="1" applyFill="1" applyBorder="1" applyAlignment="1" applyProtection="1">
      <alignment horizontal="center" vertical="center"/>
    </xf>
    <xf numFmtId="10" fontId="67" fillId="8" borderId="2" xfId="8" applyNumberFormat="1" applyFont="1" applyFill="1" applyBorder="1" applyAlignment="1" applyProtection="1">
      <alignment horizontal="center" vertical="center"/>
    </xf>
    <xf numFmtId="10" fontId="67" fillId="0" borderId="2" xfId="0" applyNumberFormat="1" applyFont="1" applyFill="1" applyBorder="1" applyAlignment="1" applyProtection="1">
      <alignment horizontal="center" vertical="center"/>
    </xf>
    <xf numFmtId="39" fontId="67" fillId="2" borderId="2" xfId="0" applyNumberFormat="1" applyFont="1" applyFill="1" applyBorder="1" applyAlignment="1" applyProtection="1">
      <alignment horizontal="center" vertical="center"/>
    </xf>
    <xf numFmtId="39" fontId="67" fillId="12" borderId="2" xfId="0" applyNumberFormat="1" applyFont="1" applyFill="1" applyBorder="1" applyAlignment="1" applyProtection="1">
      <alignment horizontal="center" vertical="center"/>
    </xf>
    <xf numFmtId="2" fontId="67" fillId="2" borderId="2" xfId="0" applyNumberFormat="1" applyFont="1" applyFill="1" applyBorder="1" applyAlignment="1" applyProtection="1">
      <alignment horizontal="center" vertical="center"/>
    </xf>
    <xf numFmtId="5" fontId="67" fillId="12" borderId="2" xfId="3" applyNumberFormat="1" applyFont="1" applyFill="1" applyBorder="1" applyAlignment="1" applyProtection="1">
      <alignment horizontal="center" vertical="center"/>
    </xf>
    <xf numFmtId="10" fontId="67" fillId="2" borderId="2" xfId="8" applyNumberFormat="1" applyFont="1" applyFill="1" applyBorder="1" applyAlignment="1" applyProtection="1">
      <alignment horizontal="center" vertical="center"/>
    </xf>
    <xf numFmtId="10" fontId="67" fillId="12" borderId="2" xfId="8"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65" fontId="67" fillId="0" borderId="2" xfId="0" applyNumberFormat="1" applyFont="1" applyFill="1" applyBorder="1" applyAlignment="1" applyProtection="1">
      <alignment horizontal="center" vertical="center"/>
    </xf>
    <xf numFmtId="43" fontId="67" fillId="12" borderId="2" xfId="1" applyFont="1" applyFill="1" applyBorder="1" applyAlignment="1" applyProtection="1">
      <alignment horizontal="center" vertical="center"/>
    </xf>
    <xf numFmtId="9" fontId="16" fillId="0" borderId="9" xfId="8" applyFont="1" applyFill="1" applyBorder="1" applyAlignment="1" applyProtection="1">
      <alignment horizontal="left" vertical="center"/>
    </xf>
    <xf numFmtId="9" fontId="16" fillId="0" borderId="12" xfId="8" applyFont="1" applyFill="1" applyBorder="1" applyAlignment="1" applyProtection="1">
      <alignment horizontal="left" vertical="center"/>
    </xf>
    <xf numFmtId="6" fontId="16" fillId="0" borderId="9" xfId="0" applyNumberFormat="1" applyFont="1" applyFill="1" applyBorder="1" applyAlignment="1" applyProtection="1">
      <alignment horizontal="left" vertical="center"/>
    </xf>
    <xf numFmtId="6" fontId="16" fillId="0" borderId="12" xfId="0" applyNumberFormat="1" applyFont="1" applyFill="1" applyBorder="1" applyAlignment="1" applyProtection="1">
      <alignment horizontal="left" vertical="center"/>
    </xf>
    <xf numFmtId="6" fontId="67" fillId="0" borderId="9" xfId="0" applyNumberFormat="1" applyFont="1" applyFill="1" applyBorder="1" applyAlignment="1" applyProtection="1">
      <alignment horizontal="left" vertical="center" wrapText="1"/>
    </xf>
    <xf numFmtId="6" fontId="67" fillId="0" borderId="12" xfId="0" applyNumberFormat="1" applyFont="1" applyFill="1" applyBorder="1" applyAlignment="1" applyProtection="1">
      <alignment horizontal="left" vertical="center" wrapText="1"/>
    </xf>
    <xf numFmtId="2" fontId="67" fillId="0" borderId="9" xfId="0" applyNumberFormat="1" applyFont="1" applyFill="1" applyBorder="1" applyAlignment="1" applyProtection="1">
      <alignment horizontal="left" vertical="center"/>
    </xf>
    <xf numFmtId="2" fontId="67" fillId="0" borderId="12" xfId="0" applyNumberFormat="1" applyFont="1" applyFill="1" applyBorder="1" applyAlignment="1" applyProtection="1">
      <alignment horizontal="left" vertical="center"/>
    </xf>
    <xf numFmtId="171" fontId="21" fillId="0" borderId="4" xfId="0" applyFont="1" applyBorder="1" applyAlignment="1" applyProtection="1">
      <alignment horizontal="center" vertical="center"/>
    </xf>
    <xf numFmtId="43" fontId="67" fillId="2" borderId="2" xfId="1" applyFont="1" applyFill="1" applyBorder="1" applyAlignment="1" applyProtection="1">
      <alignment horizontal="center" vertical="center"/>
    </xf>
    <xf numFmtId="10" fontId="67" fillId="8" borderId="2" xfId="3" applyNumberFormat="1" applyFont="1" applyFill="1" applyBorder="1" applyAlignment="1" applyProtection="1">
      <alignment horizontal="center" vertical="center"/>
    </xf>
    <xf numFmtId="171" fontId="89" fillId="0" borderId="0" xfId="0" applyFont="1" applyAlignment="1" applyProtection="1">
      <alignment horizontal="left" vertical="center" wrapText="1"/>
    </xf>
    <xf numFmtId="171" fontId="67" fillId="3" borderId="9" xfId="0" applyFont="1" applyFill="1" applyBorder="1" applyAlignment="1" applyProtection="1">
      <alignment horizontal="left" vertical="center"/>
    </xf>
    <xf numFmtId="171" fontId="67" fillId="3" borderId="12" xfId="0" applyFont="1" applyFill="1" applyBorder="1" applyAlignment="1" applyProtection="1">
      <alignment horizontal="left" vertical="center"/>
    </xf>
  </cellXfs>
  <cellStyles count="171">
    <cellStyle name="Cliff" xfId="94" xr:uid="{00000000-0005-0000-0000-000000000000}"/>
    <cellStyle name="Comma" xfId="1" builtinId="3"/>
    <cellStyle name="Comma 2" xfId="2" xr:uid="{00000000-0005-0000-0000-000002000000}"/>
    <cellStyle name="Comma 2 2" xfId="49" xr:uid="{00000000-0005-0000-0000-000003000000}"/>
    <cellStyle name="Comma 3" xfId="18" xr:uid="{00000000-0005-0000-0000-000004000000}"/>
    <cellStyle name="Comma 3 2" xfId="66" xr:uid="{00000000-0005-0000-0000-000005000000}"/>
    <cellStyle name="Comma 4" xfId="23" xr:uid="{00000000-0005-0000-0000-000006000000}"/>
    <cellStyle name="Comma 5" xfId="50" xr:uid="{00000000-0005-0000-0000-000007000000}"/>
    <cellStyle name="Comma 5 2" xfId="72" xr:uid="{00000000-0005-0000-0000-000008000000}"/>
    <cellStyle name="Comma 6" xfId="97" xr:uid="{00000000-0005-0000-0000-000009000000}"/>
    <cellStyle name="Comma 6 2" xfId="110" xr:uid="{00000000-0005-0000-0000-00000A000000}"/>
    <cellStyle name="Comma 6 2 2" xfId="129" xr:uid="{00000000-0005-0000-0000-00000B000000}"/>
    <cellStyle name="Comma 6 2 2 2" xfId="164" xr:uid="{3E83ECCF-E6E9-4CBD-82FE-7B597FD5337D}"/>
    <cellStyle name="Comma 6 2 3" xfId="151" xr:uid="{FFD9CCFF-C6E2-490D-AC89-3DD076462AF7}"/>
    <cellStyle name="Comma 6 3" xfId="122" xr:uid="{00000000-0005-0000-0000-00000C000000}"/>
    <cellStyle name="Comma 6 3 2" xfId="158" xr:uid="{EDCF6BEB-A721-4778-ACC9-1E79ACCFF2BD}"/>
    <cellStyle name="Comma 6 4" xfId="145" xr:uid="{AA867B9E-5C73-4266-8775-7053EAB47607}"/>
    <cellStyle name="Comma 7" xfId="103" xr:uid="{00000000-0005-0000-0000-00000D000000}"/>
    <cellStyle name="Comma 8" xfId="115" xr:uid="{00000000-0005-0000-0000-00000E000000}"/>
    <cellStyle name="Currency" xfId="3" builtinId="4"/>
    <cellStyle name="Currency [0]" xfId="4" builtinId="7"/>
    <cellStyle name="Currency [0] 2" xfId="20" xr:uid="{00000000-0005-0000-0000-000011000000}"/>
    <cellStyle name="Currency [0] 2 2" xfId="67" xr:uid="{00000000-0005-0000-0000-000012000000}"/>
    <cellStyle name="Currency [0] 3" xfId="25" xr:uid="{00000000-0005-0000-0000-000013000000}"/>
    <cellStyle name="Currency [0] 4" xfId="51" xr:uid="{00000000-0005-0000-0000-000014000000}"/>
    <cellStyle name="Currency [0] 4 2" xfId="73" xr:uid="{00000000-0005-0000-0000-000015000000}"/>
    <cellStyle name="Currency [0] 5" xfId="105" xr:uid="{00000000-0005-0000-0000-000016000000}"/>
    <cellStyle name="Currency [0] 6" xfId="117" xr:uid="{00000000-0005-0000-0000-000017000000}"/>
    <cellStyle name="Currency 10" xfId="31" xr:uid="{00000000-0005-0000-0000-000018000000}"/>
    <cellStyle name="Currency 11" xfId="32" xr:uid="{00000000-0005-0000-0000-000019000000}"/>
    <cellStyle name="Currency 12" xfId="33" xr:uid="{00000000-0005-0000-0000-00001A000000}"/>
    <cellStyle name="Currency 13" xfId="34" xr:uid="{00000000-0005-0000-0000-00001B000000}"/>
    <cellStyle name="Currency 14" xfId="35" xr:uid="{00000000-0005-0000-0000-00001C000000}"/>
    <cellStyle name="Currency 15" xfId="36" xr:uid="{00000000-0005-0000-0000-00001D000000}"/>
    <cellStyle name="Currency 16" xfId="37" xr:uid="{00000000-0005-0000-0000-00001E000000}"/>
    <cellStyle name="Currency 17" xfId="40" xr:uid="{00000000-0005-0000-0000-00001F000000}"/>
    <cellStyle name="Currency 18" xfId="41" xr:uid="{00000000-0005-0000-0000-000020000000}"/>
    <cellStyle name="Currency 19" xfId="39" xr:uid="{00000000-0005-0000-0000-000021000000}"/>
    <cellStyle name="Currency 2" xfId="5" xr:uid="{00000000-0005-0000-0000-000022000000}"/>
    <cellStyle name="Currency 2 2" xfId="44" xr:uid="{00000000-0005-0000-0000-000023000000}"/>
    <cellStyle name="Currency 20" xfId="52" xr:uid="{00000000-0005-0000-0000-000024000000}"/>
    <cellStyle name="Currency 20 2" xfId="74" xr:uid="{00000000-0005-0000-0000-000025000000}"/>
    <cellStyle name="Currency 21" xfId="46" xr:uid="{00000000-0005-0000-0000-000026000000}"/>
    <cellStyle name="Currency 22" xfId="57" xr:uid="{00000000-0005-0000-0000-000027000000}"/>
    <cellStyle name="Currency 23" xfId="58" xr:uid="{00000000-0005-0000-0000-000028000000}"/>
    <cellStyle name="Currency 24" xfId="59" xr:uid="{00000000-0005-0000-0000-000029000000}"/>
    <cellStyle name="Currency 25" xfId="61" xr:uid="{00000000-0005-0000-0000-00002A000000}"/>
    <cellStyle name="Currency 26" xfId="62" xr:uid="{00000000-0005-0000-0000-00002B000000}"/>
    <cellStyle name="Currency 27" xfId="63" xr:uid="{00000000-0005-0000-0000-00002C000000}"/>
    <cellStyle name="Currency 28" xfId="64" xr:uid="{00000000-0005-0000-0000-00002D000000}"/>
    <cellStyle name="Currency 29" xfId="65" xr:uid="{00000000-0005-0000-0000-00002E000000}"/>
    <cellStyle name="Currency 3" xfId="19" xr:uid="{00000000-0005-0000-0000-00002F000000}"/>
    <cellStyle name="Currency 3 2" xfId="48" xr:uid="{00000000-0005-0000-0000-000030000000}"/>
    <cellStyle name="Currency 30" xfId="79" xr:uid="{00000000-0005-0000-0000-000031000000}"/>
    <cellStyle name="Currency 31" xfId="80" xr:uid="{00000000-0005-0000-0000-000032000000}"/>
    <cellStyle name="Currency 32" xfId="17" xr:uid="{00000000-0005-0000-0000-000033000000}"/>
    <cellStyle name="Currency 33" xfId="81" xr:uid="{00000000-0005-0000-0000-000034000000}"/>
    <cellStyle name="Currency 34" xfId="83" xr:uid="{00000000-0005-0000-0000-000035000000}"/>
    <cellStyle name="Currency 35" xfId="84" xr:uid="{00000000-0005-0000-0000-000036000000}"/>
    <cellStyle name="Currency 36" xfId="82" xr:uid="{00000000-0005-0000-0000-000037000000}"/>
    <cellStyle name="Currency 37" xfId="85" xr:uid="{00000000-0005-0000-0000-000038000000}"/>
    <cellStyle name="Currency 38" xfId="86" xr:uid="{00000000-0005-0000-0000-000039000000}"/>
    <cellStyle name="Currency 39" xfId="87" xr:uid="{00000000-0005-0000-0000-00003A000000}"/>
    <cellStyle name="Currency 4" xfId="22" xr:uid="{00000000-0005-0000-0000-00003B000000}"/>
    <cellStyle name="Currency 4 2" xfId="69" xr:uid="{00000000-0005-0000-0000-00003C000000}"/>
    <cellStyle name="Currency 40" xfId="88" xr:uid="{00000000-0005-0000-0000-00003D000000}"/>
    <cellStyle name="Currency 41" xfId="89" xr:uid="{00000000-0005-0000-0000-00003E000000}"/>
    <cellStyle name="Currency 42" xfId="92" xr:uid="{00000000-0005-0000-0000-00003F000000}"/>
    <cellStyle name="Currency 43" xfId="93" xr:uid="{00000000-0005-0000-0000-000040000000}"/>
    <cellStyle name="Currency 44" xfId="91" xr:uid="{00000000-0005-0000-0000-000041000000}"/>
    <cellStyle name="Currency 45" xfId="14" xr:uid="{00000000-0005-0000-0000-000042000000}"/>
    <cellStyle name="Currency 45 2" xfId="108" xr:uid="{00000000-0005-0000-0000-000043000000}"/>
    <cellStyle name="Currency 45 2 2" xfId="127" xr:uid="{00000000-0005-0000-0000-000044000000}"/>
    <cellStyle name="Currency 45 2 2 2" xfId="162" xr:uid="{27FAE022-EF3E-4F0C-BE65-2BD219213A41}"/>
    <cellStyle name="Currency 45 2 3" xfId="149" xr:uid="{47743081-ABB1-4448-BE5E-EBC615E6DE7D}"/>
    <cellStyle name="Currency 45 3" xfId="120" xr:uid="{00000000-0005-0000-0000-000045000000}"/>
    <cellStyle name="Currency 45 3 2" xfId="156" xr:uid="{571B6EE6-E902-4F12-9AB8-4631F5488224}"/>
    <cellStyle name="Currency 45 4" xfId="143" xr:uid="{D58603EA-2A94-4FF6-A2FD-9B9298784C0F}"/>
    <cellStyle name="Currency 46" xfId="100" xr:uid="{00000000-0005-0000-0000-000046000000}"/>
    <cellStyle name="Currency 47" xfId="99" xr:uid="{00000000-0005-0000-0000-000047000000}"/>
    <cellStyle name="Currency 48" xfId="104" xr:uid="{00000000-0005-0000-0000-000048000000}"/>
    <cellStyle name="Currency 49" xfId="116" xr:uid="{00000000-0005-0000-0000-000049000000}"/>
    <cellStyle name="Currency 5" xfId="24" xr:uid="{00000000-0005-0000-0000-00004A000000}"/>
    <cellStyle name="Currency 50" xfId="113" xr:uid="{00000000-0005-0000-0000-00004B000000}"/>
    <cellStyle name="Currency 50 2" xfId="133" xr:uid="{58C7CC7F-E4C5-4379-8FFC-41CCC58DAC1C}"/>
    <cellStyle name="Currency 50 2 2" xfId="138" xr:uid="{0C8F38F6-144E-46B6-BA75-371766001B4C}"/>
    <cellStyle name="Currency 50 2 2 2" xfId="141" xr:uid="{59A9DF22-7DD6-4AA3-AB2A-B12310F7A702}"/>
    <cellStyle name="Currency 50 2 2 3" xfId="170" xr:uid="{931BB122-7CB9-4F6A-9C77-F260E03540AE}"/>
    <cellStyle name="Currency 50 2 3" xfId="168" xr:uid="{C1B4B85C-204D-48AC-A603-56E283239FBC}"/>
    <cellStyle name="Currency 50 3" xfId="137" xr:uid="{BF0B8D28-8AB7-4A98-BA01-FB190C7EB7A5}"/>
    <cellStyle name="Currency 50 3 2" xfId="140" xr:uid="{A8DC1533-7421-4849-8657-6CC045CFE6EF}"/>
    <cellStyle name="Currency 50 3 3" xfId="169" xr:uid="{6309C78E-0AA0-44DA-AA82-F798AFF55419}"/>
    <cellStyle name="Currency 50 4" xfId="154" xr:uid="{433B6742-D36C-4567-B401-8AA864BFD0D1}"/>
    <cellStyle name="Currency 6" xfId="27" xr:uid="{00000000-0005-0000-0000-00004C000000}"/>
    <cellStyle name="Currency 7" xfId="28" xr:uid="{00000000-0005-0000-0000-00004D000000}"/>
    <cellStyle name="Currency 8" xfId="29" xr:uid="{00000000-0005-0000-0000-00004E000000}"/>
    <cellStyle name="Currency 9" xfId="30" xr:uid="{00000000-0005-0000-0000-00004F000000}"/>
    <cellStyle name="Hyperlink 2" xfId="45" xr:uid="{00000000-0005-0000-0000-000051000000}"/>
    <cellStyle name="Normal" xfId="0" builtinId="0"/>
    <cellStyle name="Normal 10" xfId="13" xr:uid="{00000000-0005-0000-0000-000053000000}"/>
    <cellStyle name="Normal 10 2" xfId="107" xr:uid="{00000000-0005-0000-0000-000054000000}"/>
    <cellStyle name="Normal 10 2 2" xfId="126" xr:uid="{00000000-0005-0000-0000-000055000000}"/>
    <cellStyle name="Normal 10 2 2 2" xfId="161" xr:uid="{4D29B3E2-5600-4C84-B4D8-FB0C6564096B}"/>
    <cellStyle name="Normal 10 2 3" xfId="148" xr:uid="{9820E7A4-7A77-42FC-AB97-2E7C3FECA539}"/>
    <cellStyle name="Normal 10 3" xfId="119" xr:uid="{00000000-0005-0000-0000-000056000000}"/>
    <cellStyle name="Normal 10 3 2" xfId="155" xr:uid="{27D2593B-4E92-472C-9ECF-A719F6D89A68}"/>
    <cellStyle name="Normal 10 4" xfId="131" xr:uid="{00000000-0005-0000-0000-000057000000}"/>
    <cellStyle name="Normal 10 4 2" xfId="166" xr:uid="{37C9397D-AE2F-4772-92F0-D789A83B3A61}"/>
    <cellStyle name="Normal 10 5" xfId="142" xr:uid="{75B8C6D9-CD20-4B1F-A6DD-1D920A511F52}"/>
    <cellStyle name="Normal 11" xfId="98" xr:uid="{00000000-0005-0000-0000-000058000000}"/>
    <cellStyle name="Normal 11 2" xfId="111" xr:uid="{00000000-0005-0000-0000-000059000000}"/>
    <cellStyle name="Normal 11 2 2" xfId="130" xr:uid="{00000000-0005-0000-0000-00005A000000}"/>
    <cellStyle name="Normal 11 2 2 2" xfId="165" xr:uid="{18AB4430-432E-43F6-89F8-A4E383C8BE63}"/>
    <cellStyle name="Normal 11 2 3" xfId="152" xr:uid="{04B93D43-358F-423B-A454-3B5D176F7B0E}"/>
    <cellStyle name="Normal 11 3" xfId="123" xr:uid="{00000000-0005-0000-0000-00005B000000}"/>
    <cellStyle name="Normal 11 3 2" xfId="159" xr:uid="{8E77B776-2FE4-47A6-B935-52EBC4462C0B}"/>
    <cellStyle name="Normal 11 4" xfId="146" xr:uid="{4159FE89-062E-45A9-9076-E608B51ED08D}"/>
    <cellStyle name="Normal 12" xfId="102" xr:uid="{00000000-0005-0000-0000-00005C000000}"/>
    <cellStyle name="Normal 12 2" xfId="125" xr:uid="{00000000-0005-0000-0000-00005D000000}"/>
    <cellStyle name="Normal 13" xfId="101" xr:uid="{00000000-0005-0000-0000-00005E000000}"/>
    <cellStyle name="Normal 13 2" xfId="124" xr:uid="{00000000-0005-0000-0000-00005F000000}"/>
    <cellStyle name="Normal 13 2 2" xfId="160" xr:uid="{352E695D-22C4-42B8-8349-7EF614914B36}"/>
    <cellStyle name="Normal 13 3" xfId="147" xr:uid="{93E371DD-F27F-48F4-9D18-967F35245E81}"/>
    <cellStyle name="Normal 14" xfId="114" xr:uid="{00000000-0005-0000-0000-000060000000}"/>
    <cellStyle name="Normal 15" xfId="112" xr:uid="{00000000-0005-0000-0000-000061000000}"/>
    <cellStyle name="Normal 15 2" xfId="153" xr:uid="{F48FDE6C-A18D-4B8D-828B-13A520481272}"/>
    <cellStyle name="Normal 16" xfId="135" xr:uid="{0FBFEB17-B498-4EC6-B1B6-ED217DFBAE5C}"/>
    <cellStyle name="Normal 16 2" xfId="139" xr:uid="{7838D273-6FF4-4390-B85E-344B7A20BF54}"/>
    <cellStyle name="Normal 2" xfId="6" xr:uid="{00000000-0005-0000-0000-000062000000}"/>
    <cellStyle name="Normal 2 2" xfId="47" xr:uid="{00000000-0005-0000-0000-000063000000}"/>
    <cellStyle name="Normal 2 2 2" xfId="71" xr:uid="{00000000-0005-0000-0000-000064000000}"/>
    <cellStyle name="Normal 2 3" xfId="60" xr:uid="{00000000-0005-0000-0000-000065000000}"/>
    <cellStyle name="Normal 2 4" xfId="134" xr:uid="{A0B4DD5F-68AB-464D-9E67-1109655B2593}"/>
    <cellStyle name="Normal 3" xfId="7" xr:uid="{00000000-0005-0000-0000-000066000000}"/>
    <cellStyle name="Normal 3 2" xfId="136" xr:uid="{34E92F19-0E3A-40FB-A183-91985496687A}"/>
    <cellStyle name="Normal 4" xfId="11" xr:uid="{00000000-0005-0000-0000-000067000000}"/>
    <cellStyle name="Normal 4 2" xfId="53" xr:uid="{00000000-0005-0000-0000-000068000000}"/>
    <cellStyle name="Normal 4 2 2" xfId="75" xr:uid="{00000000-0005-0000-0000-000069000000}"/>
    <cellStyle name="Normal 5" xfId="12" xr:uid="{00000000-0005-0000-0000-00006A000000}"/>
    <cellStyle name="Normal 5 2" xfId="43" xr:uid="{00000000-0005-0000-0000-00006B000000}"/>
    <cellStyle name="Normal 5 3" xfId="54" xr:uid="{00000000-0005-0000-0000-00006C000000}"/>
    <cellStyle name="Normal 5 3 2" xfId="76" xr:uid="{00000000-0005-0000-0000-00006D000000}"/>
    <cellStyle name="Normal 6" xfId="10" xr:uid="{00000000-0005-0000-0000-00006E000000}"/>
    <cellStyle name="Normal 6 2" xfId="55" xr:uid="{00000000-0005-0000-0000-00006F000000}"/>
    <cellStyle name="Normal 6 2 2" xfId="77" xr:uid="{00000000-0005-0000-0000-000070000000}"/>
    <cellStyle name="Normal 7" xfId="38" xr:uid="{00000000-0005-0000-0000-000071000000}"/>
    <cellStyle name="Normal 7 2" xfId="70" xr:uid="{00000000-0005-0000-0000-000072000000}"/>
    <cellStyle name="Normal 8" xfId="16" xr:uid="{00000000-0005-0000-0000-000073000000}"/>
    <cellStyle name="Normal 8 2" xfId="95" xr:uid="{00000000-0005-0000-0000-000074000000}"/>
    <cellStyle name="Normal 9" xfId="90" xr:uid="{00000000-0005-0000-0000-000075000000}"/>
    <cellStyle name="Normal 9 2" xfId="96" xr:uid="{00000000-0005-0000-0000-000076000000}"/>
    <cellStyle name="Percent" xfId="8" builtinId="5"/>
    <cellStyle name="Percent 2" xfId="9" xr:uid="{00000000-0005-0000-0000-000079000000}"/>
    <cellStyle name="Percent 2 2" xfId="42" xr:uid="{00000000-0005-0000-0000-00007A000000}"/>
    <cellStyle name="Percent 3" xfId="21" xr:uid="{00000000-0005-0000-0000-00007B000000}"/>
    <cellStyle name="Percent 3 2" xfId="68" xr:uid="{00000000-0005-0000-0000-00007C000000}"/>
    <cellStyle name="Percent 4" xfId="26" xr:uid="{00000000-0005-0000-0000-00007D000000}"/>
    <cellStyle name="Percent 5" xfId="56" xr:uid="{00000000-0005-0000-0000-00007E000000}"/>
    <cellStyle name="Percent 5 2" xfId="78" xr:uid="{00000000-0005-0000-0000-00007F000000}"/>
    <cellStyle name="Percent 6" xfId="15" xr:uid="{00000000-0005-0000-0000-000080000000}"/>
    <cellStyle name="Percent 6 2" xfId="109" xr:uid="{00000000-0005-0000-0000-000081000000}"/>
    <cellStyle name="Percent 6 2 2" xfId="128" xr:uid="{00000000-0005-0000-0000-000082000000}"/>
    <cellStyle name="Percent 6 2 2 2" xfId="163" xr:uid="{B3DA0BC6-D109-45A3-A88C-4F75BEC559C9}"/>
    <cellStyle name="Percent 6 2 3" xfId="150" xr:uid="{08F95933-1CE5-4F43-AF53-523302DC8419}"/>
    <cellStyle name="Percent 6 3" xfId="121" xr:uid="{00000000-0005-0000-0000-000083000000}"/>
    <cellStyle name="Percent 6 3 2" xfId="157" xr:uid="{FA3E946D-F7AE-4754-96CE-3D9293EACE6A}"/>
    <cellStyle name="Percent 6 4" xfId="132" xr:uid="{00000000-0005-0000-0000-000084000000}"/>
    <cellStyle name="Percent 6 4 2" xfId="167" xr:uid="{FF5F4E9C-625D-4518-A83C-BAD0889F8C3F}"/>
    <cellStyle name="Percent 6 5" xfId="144" xr:uid="{069E200A-FD2C-422F-B7E6-292A33AF806B}"/>
    <cellStyle name="Percent 7" xfId="106" xr:uid="{00000000-0005-0000-0000-000085000000}"/>
    <cellStyle name="Percent 8" xfId="118" xr:uid="{00000000-0005-0000-0000-000086000000}"/>
  </cellStyles>
  <dxfs count="98">
    <dxf>
      <fill>
        <patternFill>
          <bgColor rgb="FF92D050"/>
        </patternFill>
      </fill>
    </dxf>
    <dxf>
      <fill>
        <patternFill>
          <bgColor rgb="FFFF0000"/>
        </patternFill>
      </fill>
    </dxf>
    <dxf>
      <font>
        <color rgb="FF00B050"/>
      </font>
    </dxf>
    <dxf>
      <font>
        <color rgb="FFFF0000"/>
      </font>
    </dxf>
    <dxf>
      <font>
        <color rgb="FF00B050"/>
      </font>
    </dxf>
    <dxf>
      <font>
        <color theme="7" tint="-0.24994659260841701"/>
      </font>
      <fill>
        <patternFill>
          <fgColor indexed="64"/>
        </patternFill>
      </fill>
    </dxf>
    <dxf>
      <font>
        <color rgb="FF00B05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B050"/>
      </font>
    </dxf>
    <dxf>
      <font>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163D46"/>
      <color rgb="FF3692A8"/>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nagiK\Downloads\2024RentalFeasibilityWorkbookFinal%20(22).xlsx" TargetMode="External"/><Relationship Id="rId1" Type="http://schemas.openxmlformats.org/officeDocument/2006/relationships/externalLinkPath" Target="file:///C:\Users\GnagiK\Downloads\2024RentalFeasibilityWorkbookFinal%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ject Information"/>
      <sheetName val="Rental Project Worksheet"/>
      <sheetName val="Development Budget Worksheet"/>
      <sheetName val="Sources of Funds Worksheet"/>
      <sheetName val="Housing Pro Forma"/>
      <sheetName val="Services Pro Forma"/>
      <sheetName val="Feasibility Analysis Worksheet"/>
      <sheetName val="Download"/>
      <sheetName val="Revisions"/>
      <sheetName val="RBA Data"/>
      <sheetName val="USDA Income Limits"/>
      <sheetName val="Income Limi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2021</v>
          </cell>
          <cell r="C3">
            <v>44197</v>
          </cell>
          <cell r="E3" t="str">
            <v>Maricopa Co, Arizona</v>
          </cell>
        </row>
        <row r="4">
          <cell r="B4">
            <v>2022</v>
          </cell>
          <cell r="C4">
            <v>44720</v>
          </cell>
          <cell r="E4" t="str">
            <v>Pima Co, Arizona</v>
          </cell>
        </row>
        <row r="5">
          <cell r="B5">
            <v>2023</v>
          </cell>
          <cell r="C5">
            <v>45159</v>
          </cell>
          <cell r="E5" t="str">
            <v>Crawford Co, Arkansas</v>
          </cell>
        </row>
        <row r="6">
          <cell r="B6">
            <v>2024</v>
          </cell>
          <cell r="E6" t="str">
            <v>Van Buren Co, Arkansas</v>
          </cell>
        </row>
        <row r="7">
          <cell r="E7" t="str">
            <v>Los Angeles Co, California</v>
          </cell>
        </row>
        <row r="8">
          <cell r="E8" t="str">
            <v>Adams Co, Colorado</v>
          </cell>
        </row>
        <row r="9">
          <cell r="E9" t="str">
            <v>Alamosa Co, Colorado</v>
          </cell>
        </row>
        <row r="10">
          <cell r="E10" t="str">
            <v>Arapahoe Co, Colorado</v>
          </cell>
        </row>
        <row r="11">
          <cell r="E11" t="str">
            <v>Archuleta Co, Colorado</v>
          </cell>
        </row>
        <row r="12">
          <cell r="E12" t="str">
            <v>Baca Co, Colorado</v>
          </cell>
        </row>
        <row r="13">
          <cell r="E13" t="str">
            <v>Bent Co, Colorado</v>
          </cell>
        </row>
        <row r="14">
          <cell r="E14" t="str">
            <v>Boulder Co, Colorado</v>
          </cell>
        </row>
        <row r="15">
          <cell r="E15" t="str">
            <v>Broomfield Co, Colorado</v>
          </cell>
        </row>
        <row r="16">
          <cell r="E16" t="str">
            <v>Chaffee Co, Colorado</v>
          </cell>
        </row>
        <row r="17">
          <cell r="E17" t="str">
            <v>Cheyenne Co, Colorado</v>
          </cell>
        </row>
        <row r="18">
          <cell r="E18" t="str">
            <v>Clear Creek Co, Colorado</v>
          </cell>
        </row>
        <row r="19">
          <cell r="E19" t="str">
            <v>Conejos Co, Colorado</v>
          </cell>
        </row>
        <row r="20">
          <cell r="E20" t="str">
            <v>Costilla Co, Colorado</v>
          </cell>
        </row>
        <row r="21">
          <cell r="E21" t="str">
            <v>Crowley Co, Colorado</v>
          </cell>
        </row>
        <row r="22">
          <cell r="E22" t="str">
            <v>Custer Co, Colorado</v>
          </cell>
        </row>
        <row r="23">
          <cell r="E23" t="str">
            <v>Delta Co, Colorado</v>
          </cell>
        </row>
        <row r="24">
          <cell r="E24" t="str">
            <v>Denver Co, Colorado</v>
          </cell>
        </row>
        <row r="25">
          <cell r="E25" t="str">
            <v>Dolores Co, Colorado</v>
          </cell>
        </row>
        <row r="26">
          <cell r="E26" t="str">
            <v>Douglas Co, Colorado</v>
          </cell>
        </row>
        <row r="27">
          <cell r="E27" t="str">
            <v>Eagle Co, Colorado</v>
          </cell>
        </row>
        <row r="28">
          <cell r="E28" t="str">
            <v>Elbert Co, Colorado</v>
          </cell>
        </row>
        <row r="29">
          <cell r="E29" t="str">
            <v>El Paso Co, Colorado</v>
          </cell>
        </row>
        <row r="30">
          <cell r="E30" t="str">
            <v>Fremont Co, Colorado</v>
          </cell>
        </row>
        <row r="31">
          <cell r="E31" t="str">
            <v>Garfield Co, Colorado</v>
          </cell>
        </row>
        <row r="32">
          <cell r="E32" t="str">
            <v>Gilpin Co, Colorado</v>
          </cell>
        </row>
        <row r="33">
          <cell r="E33" t="str">
            <v>Grand Co, Colorado</v>
          </cell>
        </row>
        <row r="34">
          <cell r="E34" t="str">
            <v>Gunnison Co, Colorado</v>
          </cell>
        </row>
        <row r="35">
          <cell r="E35" t="str">
            <v>Hinsdale Co, Colorado</v>
          </cell>
        </row>
        <row r="36">
          <cell r="E36" t="str">
            <v>Huerfano Co, Colorado</v>
          </cell>
        </row>
        <row r="37">
          <cell r="E37" t="str">
            <v>Jackson Co, Colorado</v>
          </cell>
        </row>
        <row r="38">
          <cell r="E38" t="str">
            <v>Jefferson Co, Colorado</v>
          </cell>
        </row>
        <row r="39">
          <cell r="E39" t="str">
            <v>Kiowa Co, Colorado</v>
          </cell>
        </row>
        <row r="40">
          <cell r="E40" t="str">
            <v>Kit Carson Co, Colorado</v>
          </cell>
        </row>
        <row r="41">
          <cell r="E41" t="str">
            <v>Lake Co, Colorado</v>
          </cell>
        </row>
        <row r="42">
          <cell r="E42" t="str">
            <v>La Plata Co, Colorado</v>
          </cell>
        </row>
        <row r="43">
          <cell r="E43" t="str">
            <v>Larimer Co, Colorado</v>
          </cell>
        </row>
        <row r="44">
          <cell r="E44" t="str">
            <v>Las Animas Co, Colorado</v>
          </cell>
        </row>
        <row r="45">
          <cell r="E45" t="str">
            <v>Lincoln Co, Colorado</v>
          </cell>
        </row>
        <row r="46">
          <cell r="E46" t="str">
            <v>Logan Co, Colorado</v>
          </cell>
        </row>
        <row r="47">
          <cell r="E47" t="str">
            <v>Mesa Co, Colorado</v>
          </cell>
        </row>
        <row r="48">
          <cell r="E48" t="str">
            <v>Mineral Co, Colorado</v>
          </cell>
        </row>
        <row r="49">
          <cell r="E49" t="str">
            <v>Moffat Co, Colorado</v>
          </cell>
        </row>
        <row r="50">
          <cell r="E50" t="str">
            <v>Montezuma Co, Colorado</v>
          </cell>
        </row>
        <row r="51">
          <cell r="E51" t="str">
            <v>Montrose Co, Colorado</v>
          </cell>
        </row>
        <row r="52">
          <cell r="E52" t="str">
            <v>Morgan Co, Colorado</v>
          </cell>
        </row>
        <row r="53">
          <cell r="E53" t="str">
            <v>Otero Co, Colorado</v>
          </cell>
        </row>
        <row r="54">
          <cell r="E54" t="str">
            <v>Ouray Co, Colorado</v>
          </cell>
        </row>
        <row r="55">
          <cell r="E55" t="str">
            <v>Park Co, Colorado</v>
          </cell>
        </row>
        <row r="56">
          <cell r="E56" t="str">
            <v>Phillips Co, Colorado</v>
          </cell>
        </row>
        <row r="57">
          <cell r="E57" t="str">
            <v>Pitkin Co, Colorado</v>
          </cell>
        </row>
        <row r="58">
          <cell r="E58" t="str">
            <v>Prowers Co, Colorado</v>
          </cell>
        </row>
        <row r="59">
          <cell r="E59" t="str">
            <v>Pueblo Co, Colorado</v>
          </cell>
        </row>
        <row r="60">
          <cell r="E60" t="str">
            <v>Rio Blanco Co, Colorado</v>
          </cell>
        </row>
        <row r="61">
          <cell r="E61" t="str">
            <v>Rio Grande Co, Colorado</v>
          </cell>
        </row>
        <row r="62">
          <cell r="E62" t="str">
            <v>Routt Co, Colorado</v>
          </cell>
        </row>
        <row r="63">
          <cell r="E63" t="str">
            <v>Saguache Co, Colorado</v>
          </cell>
        </row>
        <row r="64">
          <cell r="E64" t="str">
            <v>San Juan Co, Colorado</v>
          </cell>
        </row>
        <row r="65">
          <cell r="E65" t="str">
            <v>San Miguel Co, Colorado</v>
          </cell>
        </row>
        <row r="66">
          <cell r="E66" t="str">
            <v>Sedgwick Co, Colorado</v>
          </cell>
        </row>
        <row r="67">
          <cell r="E67" t="str">
            <v>Summit Co, Colorado</v>
          </cell>
        </row>
        <row r="68">
          <cell r="E68" t="str">
            <v>Teller Co, Colorado</v>
          </cell>
        </row>
        <row r="69">
          <cell r="E69" t="str">
            <v>Washington Co, Colorado</v>
          </cell>
        </row>
        <row r="70">
          <cell r="E70" t="str">
            <v>Weld Co, Colorado</v>
          </cell>
        </row>
        <row r="71">
          <cell r="E71" t="str">
            <v>Yuma Co, Colorado</v>
          </cell>
        </row>
        <row r="72">
          <cell r="E72" t="str">
            <v>Posey Co, Indiana</v>
          </cell>
        </row>
        <row r="73">
          <cell r="E73" t="str">
            <v>Black Hawk Co, Iowa</v>
          </cell>
        </row>
        <row r="74">
          <cell r="E74" t="str">
            <v>Boone Co, Iowa</v>
          </cell>
        </row>
        <row r="75">
          <cell r="E75" t="str">
            <v>Dubuque Co, Iowa</v>
          </cell>
        </row>
        <row r="76">
          <cell r="E76" t="str">
            <v>Harrison Co, Iowa</v>
          </cell>
        </row>
        <row r="77">
          <cell r="E77" t="str">
            <v>Polk Co, Iowa</v>
          </cell>
        </row>
        <row r="78">
          <cell r="E78" t="str">
            <v>Pottawattamie Co, Iowa</v>
          </cell>
        </row>
        <row r="79">
          <cell r="E79" t="str">
            <v>Shelby Co, Iowa</v>
          </cell>
        </row>
        <row r="80">
          <cell r="E80" t="str">
            <v>Webster Co, Iowa</v>
          </cell>
        </row>
        <row r="81">
          <cell r="E81" t="str">
            <v>Woodbury Co, Iowa</v>
          </cell>
        </row>
        <row r="82">
          <cell r="E82" t="str">
            <v>Allen Co, Kansas</v>
          </cell>
        </row>
        <row r="83">
          <cell r="E83" t="str">
            <v>Anderson Co, Kansas</v>
          </cell>
        </row>
        <row r="84">
          <cell r="E84" t="str">
            <v>Atchison Co, Kansas</v>
          </cell>
        </row>
        <row r="85">
          <cell r="E85" t="str">
            <v>Barber Co, Kansas</v>
          </cell>
        </row>
        <row r="86">
          <cell r="E86" t="str">
            <v>Barton Co, Kansas</v>
          </cell>
        </row>
        <row r="87">
          <cell r="E87" t="str">
            <v>Bourbon Co, Kansas</v>
          </cell>
        </row>
        <row r="88">
          <cell r="E88" t="str">
            <v>Brown Co, Kansas</v>
          </cell>
        </row>
        <row r="89">
          <cell r="E89" t="str">
            <v>Butler Co, Kansas</v>
          </cell>
        </row>
        <row r="90">
          <cell r="E90" t="str">
            <v>Chase Co, Kansas</v>
          </cell>
        </row>
        <row r="91">
          <cell r="E91" t="str">
            <v>Chautauqua Co, Kansas</v>
          </cell>
        </row>
        <row r="92">
          <cell r="E92" t="str">
            <v>Cherokee Co, Kansas</v>
          </cell>
        </row>
        <row r="93">
          <cell r="E93" t="str">
            <v>Cheyenne Co, Kansas</v>
          </cell>
        </row>
        <row r="94">
          <cell r="E94" t="str">
            <v>Clark Co, Kansas</v>
          </cell>
        </row>
        <row r="95">
          <cell r="E95" t="str">
            <v>Clay Co, Kansas</v>
          </cell>
        </row>
        <row r="96">
          <cell r="E96" t="str">
            <v>Cloud Co, Kansas</v>
          </cell>
        </row>
        <row r="97">
          <cell r="E97" t="str">
            <v>Coffey Co, Kansas</v>
          </cell>
        </row>
        <row r="98">
          <cell r="E98" t="str">
            <v>Comanche Co, Kansas</v>
          </cell>
        </row>
        <row r="99">
          <cell r="E99" t="str">
            <v>Cowley Co, Kansas</v>
          </cell>
        </row>
        <row r="100">
          <cell r="E100" t="str">
            <v>Crawford Co, Kansas</v>
          </cell>
        </row>
        <row r="101">
          <cell r="E101" t="str">
            <v>Decatur Co, Kansas</v>
          </cell>
        </row>
        <row r="102">
          <cell r="E102" t="str">
            <v>Dickinson Co, Kansas</v>
          </cell>
        </row>
        <row r="103">
          <cell r="E103" t="str">
            <v>Doniphan Co, Kansas</v>
          </cell>
        </row>
        <row r="104">
          <cell r="E104" t="str">
            <v>Douglas Co, Kansas</v>
          </cell>
        </row>
        <row r="105">
          <cell r="E105" t="str">
            <v>Edwards Co, Kansas</v>
          </cell>
        </row>
        <row r="106">
          <cell r="E106" t="str">
            <v>Elk Co, Kansas</v>
          </cell>
        </row>
        <row r="107">
          <cell r="E107" t="str">
            <v>Ellis Co, Kansas</v>
          </cell>
        </row>
        <row r="108">
          <cell r="E108" t="str">
            <v>Ellsworth Co, Kansas</v>
          </cell>
        </row>
        <row r="109">
          <cell r="E109" t="str">
            <v>Finney Co, Kansas</v>
          </cell>
        </row>
        <row r="110">
          <cell r="E110" t="str">
            <v>Ford Co, Kansas</v>
          </cell>
        </row>
        <row r="111">
          <cell r="E111" t="str">
            <v>Franklin Co, Kansas</v>
          </cell>
        </row>
        <row r="112">
          <cell r="E112" t="str">
            <v>Geary Co, Kansas</v>
          </cell>
        </row>
        <row r="113">
          <cell r="E113" t="str">
            <v>Gove Co, Kansas</v>
          </cell>
        </row>
        <row r="114">
          <cell r="E114" t="str">
            <v>Graham Co, Kansas</v>
          </cell>
        </row>
        <row r="115">
          <cell r="E115" t="str">
            <v>Grant Co, Kansas</v>
          </cell>
        </row>
        <row r="116">
          <cell r="E116" t="str">
            <v>Gray Co, Kansas</v>
          </cell>
        </row>
        <row r="117">
          <cell r="E117" t="str">
            <v>Greeley Co, Kansas</v>
          </cell>
        </row>
        <row r="118">
          <cell r="E118" t="str">
            <v>Greenwood Co, Kansas</v>
          </cell>
        </row>
        <row r="119">
          <cell r="E119" t="str">
            <v>Hamilton Co, Kansas</v>
          </cell>
        </row>
        <row r="120">
          <cell r="E120" t="str">
            <v>Harper Co, Kansas</v>
          </cell>
        </row>
        <row r="121">
          <cell r="E121" t="str">
            <v>Harvey Co, Kansas</v>
          </cell>
        </row>
        <row r="122">
          <cell r="E122" t="str">
            <v>Haskell Co, Kansas</v>
          </cell>
        </row>
        <row r="123">
          <cell r="E123" t="str">
            <v>Hodgeman Co, Kansas</v>
          </cell>
        </row>
        <row r="124">
          <cell r="E124" t="str">
            <v>Jackson Co, Kansas</v>
          </cell>
        </row>
        <row r="125">
          <cell r="E125" t="str">
            <v>Jefferson Co, Kansas</v>
          </cell>
        </row>
        <row r="126">
          <cell r="E126" t="str">
            <v>Jewell Co, Kansas</v>
          </cell>
        </row>
        <row r="127">
          <cell r="E127" t="str">
            <v>Johnson Co, Kansas</v>
          </cell>
        </row>
        <row r="128">
          <cell r="E128" t="str">
            <v>Kearny Co, Kansas</v>
          </cell>
        </row>
        <row r="129">
          <cell r="E129" t="str">
            <v>Kingman Co, Kansas</v>
          </cell>
        </row>
        <row r="130">
          <cell r="E130" t="str">
            <v>Kiowa Co, Kansas</v>
          </cell>
        </row>
        <row r="131">
          <cell r="E131" t="str">
            <v>Labette Co, Kansas</v>
          </cell>
        </row>
        <row r="132">
          <cell r="E132" t="str">
            <v>Lane Co, Kansas</v>
          </cell>
        </row>
        <row r="133">
          <cell r="E133" t="str">
            <v>Leavenworth Co, Kansas</v>
          </cell>
        </row>
        <row r="134">
          <cell r="E134" t="str">
            <v>Lincoln Co, Kansas</v>
          </cell>
        </row>
        <row r="135">
          <cell r="E135" t="str">
            <v>Linn Co, Kansas</v>
          </cell>
        </row>
        <row r="136">
          <cell r="E136" t="str">
            <v>Logan Co, Kansas</v>
          </cell>
        </row>
        <row r="137">
          <cell r="E137" t="str">
            <v>Lyon Co, Kansas</v>
          </cell>
        </row>
        <row r="138">
          <cell r="E138" t="str">
            <v>McPherson Co, Kansas</v>
          </cell>
        </row>
        <row r="139">
          <cell r="E139" t="str">
            <v>Marion Co, Kansas</v>
          </cell>
        </row>
        <row r="140">
          <cell r="E140" t="str">
            <v>Marshall Co, Kansas</v>
          </cell>
        </row>
        <row r="141">
          <cell r="E141" t="str">
            <v>Meade Co, Kansas</v>
          </cell>
        </row>
        <row r="142">
          <cell r="E142" t="str">
            <v>Miami Co, Kansas</v>
          </cell>
        </row>
        <row r="143">
          <cell r="E143" t="str">
            <v>Mitchell Co, Kansas</v>
          </cell>
        </row>
        <row r="144">
          <cell r="E144" t="str">
            <v>Montgomery Co, Kansas</v>
          </cell>
        </row>
        <row r="145">
          <cell r="E145" t="str">
            <v>Morris Co, Kansas</v>
          </cell>
        </row>
        <row r="146">
          <cell r="E146" t="str">
            <v>Morton Co, Kansas</v>
          </cell>
        </row>
        <row r="147">
          <cell r="E147" t="str">
            <v>Nemaha Co, Kansas</v>
          </cell>
        </row>
        <row r="148">
          <cell r="E148" t="str">
            <v>Neosho Co, Kansas</v>
          </cell>
        </row>
        <row r="149">
          <cell r="E149" t="str">
            <v>Ness Co, Kansas</v>
          </cell>
        </row>
        <row r="150">
          <cell r="E150" t="str">
            <v>Norton Co, Kansas</v>
          </cell>
        </row>
        <row r="151">
          <cell r="E151" t="str">
            <v>Osage Co, Kansas</v>
          </cell>
        </row>
        <row r="152">
          <cell r="E152" t="str">
            <v>Osborne Co, Kansas</v>
          </cell>
        </row>
        <row r="153">
          <cell r="E153" t="str">
            <v>Ottawa Co, Kansas</v>
          </cell>
        </row>
        <row r="154">
          <cell r="E154" t="str">
            <v>Pawnee Co, Kansas</v>
          </cell>
        </row>
        <row r="155">
          <cell r="E155" t="str">
            <v>Phillips Co, Kansas</v>
          </cell>
        </row>
        <row r="156">
          <cell r="E156" t="str">
            <v>Pottawatomie Co, Kansas</v>
          </cell>
        </row>
        <row r="157">
          <cell r="E157" t="str">
            <v>Pratt Co, Kansas</v>
          </cell>
        </row>
        <row r="158">
          <cell r="E158" t="str">
            <v>Rawlins Co, Kansas</v>
          </cell>
        </row>
        <row r="159">
          <cell r="E159" t="str">
            <v>Reno Co, Kansas</v>
          </cell>
        </row>
        <row r="160">
          <cell r="E160" t="str">
            <v>Republic Co, Kansas</v>
          </cell>
        </row>
        <row r="161">
          <cell r="E161" t="str">
            <v>Rice Co, Kansas</v>
          </cell>
        </row>
        <row r="162">
          <cell r="E162" t="str">
            <v>Riley Co, Kansas</v>
          </cell>
        </row>
        <row r="163">
          <cell r="E163" t="str">
            <v>Rooks Co, Kansas</v>
          </cell>
        </row>
        <row r="164">
          <cell r="E164" t="str">
            <v>Rush Co, Kansas</v>
          </cell>
        </row>
        <row r="165">
          <cell r="E165" t="str">
            <v>Russell Co, Kansas</v>
          </cell>
        </row>
        <row r="166">
          <cell r="E166" t="str">
            <v>Saline Co, Kansas</v>
          </cell>
        </row>
        <row r="167">
          <cell r="E167" t="str">
            <v>Scott Co, Kansas</v>
          </cell>
        </row>
        <row r="168">
          <cell r="E168" t="str">
            <v>Sedgwick Co, Kansas</v>
          </cell>
        </row>
        <row r="169">
          <cell r="E169" t="str">
            <v>Seward Co, Kansas</v>
          </cell>
        </row>
        <row r="170">
          <cell r="E170" t="str">
            <v>Shawnee Co, Kansas</v>
          </cell>
        </row>
        <row r="171">
          <cell r="E171" t="str">
            <v>Sheridan Co, Kansas</v>
          </cell>
        </row>
        <row r="172">
          <cell r="E172" t="str">
            <v>Sherman Co, Kansas</v>
          </cell>
        </row>
        <row r="173">
          <cell r="E173" t="str">
            <v>Smith Co, Kansas</v>
          </cell>
        </row>
        <row r="174">
          <cell r="E174" t="str">
            <v>Stafford Co, Kansas</v>
          </cell>
        </row>
        <row r="175">
          <cell r="E175" t="str">
            <v>Stanton Co, Kansas</v>
          </cell>
        </row>
        <row r="176">
          <cell r="E176" t="str">
            <v>Stevens Co, Kansas</v>
          </cell>
        </row>
        <row r="177">
          <cell r="E177" t="str">
            <v>Sumner Co, Kansas</v>
          </cell>
        </row>
        <row r="178">
          <cell r="E178" t="str">
            <v>Thomas Co, Kansas</v>
          </cell>
        </row>
        <row r="179">
          <cell r="E179" t="str">
            <v>Trego Co, Kansas</v>
          </cell>
        </row>
        <row r="180">
          <cell r="E180" t="str">
            <v>Wabaunsee Co, Kansas</v>
          </cell>
        </row>
        <row r="181">
          <cell r="E181" t="str">
            <v>Wallace Co, Kansas</v>
          </cell>
        </row>
        <row r="182">
          <cell r="E182" t="str">
            <v>Washington Co, Kansas</v>
          </cell>
        </row>
        <row r="183">
          <cell r="E183" t="str">
            <v>Wichita Co, Kansas</v>
          </cell>
        </row>
        <row r="184">
          <cell r="E184" t="str">
            <v>Wilson Co, Kansas</v>
          </cell>
        </row>
        <row r="185">
          <cell r="E185" t="str">
            <v>Woodson Co, Kansas</v>
          </cell>
        </row>
        <row r="186">
          <cell r="E186" t="str">
            <v>Wyandotte Co, Kansas</v>
          </cell>
        </row>
        <row r="187">
          <cell r="E187" t="str">
            <v>Boyd Co, Kentucky</v>
          </cell>
        </row>
        <row r="188">
          <cell r="E188" t="str">
            <v>Hampden Co, Massachusetts</v>
          </cell>
        </row>
        <row r="189">
          <cell r="E189" t="str">
            <v>Eaton Co, Michigan</v>
          </cell>
        </row>
        <row r="190">
          <cell r="E190" t="str">
            <v>Jackson Co, Missouri</v>
          </cell>
        </row>
        <row r="191">
          <cell r="E191" t="str">
            <v>Adams Co, Nebraska</v>
          </cell>
        </row>
        <row r="192">
          <cell r="E192" t="str">
            <v>Antelope Co, Nebraska</v>
          </cell>
        </row>
        <row r="193">
          <cell r="E193" t="str">
            <v>Arthur Co, Nebraska</v>
          </cell>
        </row>
        <row r="194">
          <cell r="E194" t="str">
            <v>Banner Co, Nebraska</v>
          </cell>
        </row>
        <row r="195">
          <cell r="E195" t="str">
            <v>Blaine Co, Nebraska</v>
          </cell>
        </row>
        <row r="196">
          <cell r="E196" t="str">
            <v>Boone Co, Nebraska</v>
          </cell>
        </row>
        <row r="197">
          <cell r="E197" t="str">
            <v>Box Butte Co, Nebraska</v>
          </cell>
        </row>
        <row r="198">
          <cell r="E198" t="str">
            <v>Boyd Co, Nebraska</v>
          </cell>
        </row>
        <row r="199">
          <cell r="E199" t="str">
            <v>Brown Co, Nebraska</v>
          </cell>
        </row>
        <row r="200">
          <cell r="E200" t="str">
            <v>Buffalo Co, Nebraska</v>
          </cell>
        </row>
        <row r="201">
          <cell r="E201" t="str">
            <v>Burt Co, Nebraska</v>
          </cell>
        </row>
        <row r="202">
          <cell r="E202" t="str">
            <v>Butler Co, Nebraska</v>
          </cell>
        </row>
        <row r="203">
          <cell r="E203" t="str">
            <v>Cass Co, Nebraska</v>
          </cell>
        </row>
        <row r="204">
          <cell r="E204" t="str">
            <v>Cedar Co, Nebraska</v>
          </cell>
        </row>
        <row r="205">
          <cell r="E205" t="str">
            <v>Chase Co, Nebraska</v>
          </cell>
        </row>
        <row r="206">
          <cell r="E206" t="str">
            <v>Cherry Co, Nebraska</v>
          </cell>
        </row>
        <row r="207">
          <cell r="E207" t="str">
            <v>Cheyenne Co, Nebraska</v>
          </cell>
        </row>
        <row r="208">
          <cell r="E208" t="str">
            <v>Clay Co, Nebraska</v>
          </cell>
        </row>
        <row r="209">
          <cell r="E209" t="str">
            <v>Colfax Co, Nebraska</v>
          </cell>
        </row>
        <row r="210">
          <cell r="E210" t="str">
            <v>Cuming Co, Nebraska</v>
          </cell>
        </row>
        <row r="211">
          <cell r="E211" t="str">
            <v>Custer Co, Nebraska</v>
          </cell>
        </row>
        <row r="212">
          <cell r="E212" t="str">
            <v>Dakota Co, Nebraska</v>
          </cell>
        </row>
        <row r="213">
          <cell r="E213" t="str">
            <v>Dawes Co, Nebraska</v>
          </cell>
        </row>
        <row r="214">
          <cell r="E214" t="str">
            <v>Dawson Co, Nebraska</v>
          </cell>
        </row>
        <row r="215">
          <cell r="E215" t="str">
            <v>Deuel Co, Nebraska</v>
          </cell>
        </row>
        <row r="216">
          <cell r="E216" t="str">
            <v>Dixon Co, Nebraska</v>
          </cell>
        </row>
        <row r="217">
          <cell r="E217" t="str">
            <v>Dodge Co, Nebraska</v>
          </cell>
        </row>
        <row r="218">
          <cell r="E218" t="str">
            <v>Douglas Co, Nebraska</v>
          </cell>
        </row>
        <row r="219">
          <cell r="E219" t="str">
            <v>Dundy Co, Nebraska</v>
          </cell>
        </row>
        <row r="220">
          <cell r="E220" t="str">
            <v>Fillmore Co, Nebraska</v>
          </cell>
        </row>
        <row r="221">
          <cell r="E221" t="str">
            <v>Franklin Co, Nebraska</v>
          </cell>
        </row>
        <row r="222">
          <cell r="E222" t="str">
            <v>Frontier Co, Nebraska</v>
          </cell>
        </row>
        <row r="223">
          <cell r="E223" t="str">
            <v>Furnas Co, Nebraska</v>
          </cell>
        </row>
        <row r="224">
          <cell r="E224" t="str">
            <v>Gage Co, Nebraska</v>
          </cell>
        </row>
        <row r="225">
          <cell r="E225" t="str">
            <v>Garden Co, Nebraska</v>
          </cell>
        </row>
        <row r="226">
          <cell r="E226" t="str">
            <v>Garfield Co, Nebraska</v>
          </cell>
        </row>
        <row r="227">
          <cell r="E227" t="str">
            <v>Gosper Co, Nebraska</v>
          </cell>
        </row>
        <row r="228">
          <cell r="E228" t="str">
            <v>Grant Co, Nebraska</v>
          </cell>
        </row>
        <row r="229">
          <cell r="E229" t="str">
            <v>Greeley Co, Nebraska</v>
          </cell>
        </row>
        <row r="230">
          <cell r="E230" t="str">
            <v>Hall Co, Nebraska</v>
          </cell>
        </row>
        <row r="231">
          <cell r="E231" t="str">
            <v>Hamilton Co, Nebraska</v>
          </cell>
        </row>
        <row r="232">
          <cell r="E232" t="str">
            <v>Harlan Co, Nebraska</v>
          </cell>
        </row>
        <row r="233">
          <cell r="E233" t="str">
            <v>Hayes Co, Nebraska</v>
          </cell>
        </row>
        <row r="234">
          <cell r="E234" t="str">
            <v>Hitchcock Co, Nebraska</v>
          </cell>
        </row>
        <row r="235">
          <cell r="E235" t="str">
            <v>Holt Co, Nebraska</v>
          </cell>
        </row>
        <row r="236">
          <cell r="E236" t="str">
            <v>Hooker Co, Nebraska</v>
          </cell>
        </row>
        <row r="237">
          <cell r="E237" t="str">
            <v>Howard Co, Nebraska</v>
          </cell>
        </row>
        <row r="238">
          <cell r="E238" t="str">
            <v>Jefferson Co, Nebraska</v>
          </cell>
        </row>
        <row r="239">
          <cell r="E239" t="str">
            <v>Johnson Co, Nebraska</v>
          </cell>
        </row>
        <row r="240">
          <cell r="E240" t="str">
            <v>Kearney Co, Nebraska</v>
          </cell>
        </row>
        <row r="241">
          <cell r="E241" t="str">
            <v>Keith Co, Nebraska</v>
          </cell>
        </row>
        <row r="242">
          <cell r="E242" t="str">
            <v>Keya Paha Co, Nebraska</v>
          </cell>
        </row>
        <row r="243">
          <cell r="E243" t="str">
            <v>Kimball Co, Nebraska</v>
          </cell>
        </row>
        <row r="244">
          <cell r="E244" t="str">
            <v>Knox Co, Nebraska</v>
          </cell>
        </row>
        <row r="245">
          <cell r="E245" t="str">
            <v>Lancaster Co, Nebraska</v>
          </cell>
        </row>
        <row r="246">
          <cell r="E246" t="str">
            <v>Lincoln Co, Nebraska</v>
          </cell>
        </row>
        <row r="247">
          <cell r="E247" t="str">
            <v>Logan Co, Nebraska</v>
          </cell>
        </row>
        <row r="248">
          <cell r="E248" t="str">
            <v>Loup Co, Nebraska</v>
          </cell>
        </row>
        <row r="249">
          <cell r="E249" t="str">
            <v>McPherson Co, Nebraska</v>
          </cell>
        </row>
        <row r="250">
          <cell r="E250" t="str">
            <v>Madison Co, Nebraska</v>
          </cell>
        </row>
        <row r="251">
          <cell r="E251" t="str">
            <v>Merrick Co, Nebraska</v>
          </cell>
        </row>
        <row r="252">
          <cell r="E252" t="str">
            <v>Morrill Co, Nebraska</v>
          </cell>
        </row>
        <row r="253">
          <cell r="E253" t="str">
            <v>Nance Co, Nebraska</v>
          </cell>
        </row>
        <row r="254">
          <cell r="E254" t="str">
            <v>Nemaha Co, Nebraska</v>
          </cell>
        </row>
        <row r="255">
          <cell r="E255" t="str">
            <v>Nuckolls Co, Nebraska</v>
          </cell>
        </row>
        <row r="256">
          <cell r="E256" t="str">
            <v>Otoe Co, Nebraska</v>
          </cell>
        </row>
        <row r="257">
          <cell r="E257" t="str">
            <v>Pawnee Co, Nebraska</v>
          </cell>
        </row>
        <row r="258">
          <cell r="E258" t="str">
            <v>Perkins Co, Nebraska</v>
          </cell>
        </row>
        <row r="259">
          <cell r="E259" t="str">
            <v>Phelps Co, Nebraska</v>
          </cell>
        </row>
        <row r="260">
          <cell r="E260" t="str">
            <v>Pierce Co, Nebraska</v>
          </cell>
        </row>
        <row r="261">
          <cell r="E261" t="str">
            <v>Platte Co, Nebraska</v>
          </cell>
        </row>
        <row r="262">
          <cell r="E262" t="str">
            <v>Polk Co, Nebraska</v>
          </cell>
        </row>
        <row r="263">
          <cell r="E263" t="str">
            <v>Red Willow Co, Nebraska</v>
          </cell>
        </row>
        <row r="264">
          <cell r="E264" t="str">
            <v>Richardson Co, Nebraska</v>
          </cell>
        </row>
        <row r="265">
          <cell r="E265" t="str">
            <v>Rock Co, Nebraska</v>
          </cell>
        </row>
        <row r="266">
          <cell r="E266" t="str">
            <v>Saline Co, Nebraska</v>
          </cell>
        </row>
        <row r="267">
          <cell r="E267" t="str">
            <v>Sarpy Co, Nebraska</v>
          </cell>
        </row>
        <row r="268">
          <cell r="E268" t="str">
            <v>Saunders Co, Nebraska</v>
          </cell>
        </row>
        <row r="269">
          <cell r="E269" t="str">
            <v>Scotts Bluff Co, Nebraska</v>
          </cell>
        </row>
        <row r="270">
          <cell r="E270" t="str">
            <v>Seward Co, Nebraska</v>
          </cell>
        </row>
        <row r="271">
          <cell r="E271" t="str">
            <v>Sheridan Co, Nebraska</v>
          </cell>
        </row>
        <row r="272">
          <cell r="E272" t="str">
            <v>Sherman Co, Nebraska</v>
          </cell>
        </row>
        <row r="273">
          <cell r="E273" t="str">
            <v>Sioux Co, Nebraska</v>
          </cell>
        </row>
        <row r="274">
          <cell r="E274" t="str">
            <v>Stanton Co, Nebraska</v>
          </cell>
        </row>
        <row r="275">
          <cell r="E275" t="str">
            <v>Thayer Co, Nebraska</v>
          </cell>
        </row>
        <row r="276">
          <cell r="E276" t="str">
            <v>Thomas Co, Nebraska</v>
          </cell>
        </row>
        <row r="277">
          <cell r="E277" t="str">
            <v>Thurston Co, Nebraska</v>
          </cell>
        </row>
        <row r="278">
          <cell r="E278" t="str">
            <v>Valley Co, Nebraska</v>
          </cell>
        </row>
        <row r="279">
          <cell r="E279" t="str">
            <v>Washington Co, Nebraska</v>
          </cell>
        </row>
        <row r="280">
          <cell r="E280" t="str">
            <v>Wayne Co, Nebraska</v>
          </cell>
        </row>
        <row r="281">
          <cell r="E281" t="str">
            <v>Webster Co, Nebraska</v>
          </cell>
        </row>
        <row r="282">
          <cell r="E282" t="str">
            <v>Wheeler Co, Nebraska</v>
          </cell>
        </row>
        <row r="283">
          <cell r="E283" t="str">
            <v>York Co, Nebraska</v>
          </cell>
        </row>
        <row r="284">
          <cell r="E284" t="str">
            <v>Bernalillo Co, New Mexico</v>
          </cell>
        </row>
        <row r="285">
          <cell r="E285" t="str">
            <v>Santa Fe Co, New Mexico</v>
          </cell>
        </row>
        <row r="286">
          <cell r="E286" t="str">
            <v>Ramsey Co, North Dakota</v>
          </cell>
        </row>
        <row r="287">
          <cell r="E287" t="str">
            <v>Adair Co, Oklahoma</v>
          </cell>
        </row>
        <row r="288">
          <cell r="E288" t="str">
            <v>Alfalfa Co, Oklahoma</v>
          </cell>
        </row>
        <row r="289">
          <cell r="E289" t="str">
            <v>Atoka Co, Oklahoma</v>
          </cell>
        </row>
        <row r="290">
          <cell r="E290" t="str">
            <v>Beaver Co, Oklahoma</v>
          </cell>
        </row>
        <row r="291">
          <cell r="E291" t="str">
            <v>Beckham Co, Oklahoma</v>
          </cell>
        </row>
        <row r="292">
          <cell r="E292" t="str">
            <v>Blaine Co, Oklahoma</v>
          </cell>
        </row>
        <row r="293">
          <cell r="E293" t="str">
            <v>Bryan Co, Oklahoma</v>
          </cell>
        </row>
        <row r="294">
          <cell r="E294" t="str">
            <v>Caddo Co, Oklahoma</v>
          </cell>
        </row>
        <row r="295">
          <cell r="E295" t="str">
            <v>Canadian Co, Oklahoma</v>
          </cell>
        </row>
        <row r="296">
          <cell r="E296" t="str">
            <v>Carter Co, Oklahoma</v>
          </cell>
        </row>
        <row r="297">
          <cell r="E297" t="str">
            <v>Cherokee Co, Oklahoma</v>
          </cell>
        </row>
        <row r="298">
          <cell r="E298" t="str">
            <v>Choctaw Co, Oklahoma</v>
          </cell>
        </row>
        <row r="299">
          <cell r="E299" t="str">
            <v>Cimarron Co, Oklahoma</v>
          </cell>
        </row>
        <row r="300">
          <cell r="E300" t="str">
            <v>Cleveland Co, Oklahoma</v>
          </cell>
        </row>
        <row r="301">
          <cell r="E301" t="str">
            <v>Coal Co, Oklahoma</v>
          </cell>
        </row>
        <row r="302">
          <cell r="E302" t="str">
            <v>Comanche Co, Oklahoma</v>
          </cell>
        </row>
        <row r="303">
          <cell r="E303" t="str">
            <v>Cotton Co, Oklahoma</v>
          </cell>
        </row>
        <row r="304">
          <cell r="E304" t="str">
            <v>Craig Co, Oklahoma</v>
          </cell>
        </row>
        <row r="305">
          <cell r="E305" t="str">
            <v>Creek Co, Oklahoma</v>
          </cell>
        </row>
        <row r="306">
          <cell r="E306" t="str">
            <v>Custer Co, Oklahoma</v>
          </cell>
        </row>
        <row r="307">
          <cell r="E307" t="str">
            <v>Delaware Co, Oklahoma</v>
          </cell>
        </row>
        <row r="308">
          <cell r="E308" t="str">
            <v>Dewey Co, Oklahoma</v>
          </cell>
        </row>
        <row r="309">
          <cell r="E309" t="str">
            <v>Ellis Co, Oklahoma</v>
          </cell>
        </row>
        <row r="310">
          <cell r="E310" t="str">
            <v>Garfield Co, Oklahoma</v>
          </cell>
        </row>
        <row r="311">
          <cell r="E311" t="str">
            <v>Garvin Co, Oklahoma</v>
          </cell>
        </row>
        <row r="312">
          <cell r="E312" t="str">
            <v>Grady Co, Oklahoma</v>
          </cell>
        </row>
        <row r="313">
          <cell r="E313" t="str">
            <v>Grant Co, Oklahoma</v>
          </cell>
        </row>
        <row r="314">
          <cell r="E314" t="str">
            <v>Greer Co, Oklahoma</v>
          </cell>
        </row>
        <row r="315">
          <cell r="E315" t="str">
            <v>Harmon Co, Oklahoma</v>
          </cell>
        </row>
        <row r="316">
          <cell r="E316" t="str">
            <v>Harper Co, Oklahoma</v>
          </cell>
        </row>
        <row r="317">
          <cell r="E317" t="str">
            <v>Haskell Co, Oklahoma</v>
          </cell>
        </row>
        <row r="318">
          <cell r="E318" t="str">
            <v>Hughes Co, Oklahoma</v>
          </cell>
        </row>
        <row r="319">
          <cell r="E319" t="str">
            <v>Jackson Co, Oklahoma</v>
          </cell>
        </row>
        <row r="320">
          <cell r="E320" t="str">
            <v>Jefferson Co, Oklahoma</v>
          </cell>
        </row>
        <row r="321">
          <cell r="E321" t="str">
            <v>Johnston Co, Oklahoma</v>
          </cell>
        </row>
        <row r="322">
          <cell r="E322" t="str">
            <v>Kay Co, Oklahoma</v>
          </cell>
        </row>
        <row r="323">
          <cell r="E323" t="str">
            <v>Kingfisher Co, Oklahoma</v>
          </cell>
        </row>
        <row r="324">
          <cell r="E324" t="str">
            <v>Kiowa Co, Oklahoma</v>
          </cell>
        </row>
        <row r="325">
          <cell r="E325" t="str">
            <v>Latimer Co, Oklahoma</v>
          </cell>
        </row>
        <row r="326">
          <cell r="E326" t="str">
            <v>Le Flore Co, Oklahoma</v>
          </cell>
        </row>
        <row r="327">
          <cell r="E327" t="str">
            <v>Lincoln Co, Oklahoma</v>
          </cell>
        </row>
        <row r="328">
          <cell r="E328" t="str">
            <v>Logan Co, Oklahoma</v>
          </cell>
        </row>
        <row r="329">
          <cell r="E329" t="str">
            <v>Love Co, Oklahoma</v>
          </cell>
        </row>
        <row r="330">
          <cell r="E330" t="str">
            <v>McClain Co, Oklahoma</v>
          </cell>
        </row>
        <row r="331">
          <cell r="E331" t="str">
            <v>McCurtain Co, Oklahoma</v>
          </cell>
        </row>
        <row r="332">
          <cell r="E332" t="str">
            <v>McIntosh Co, Oklahoma</v>
          </cell>
        </row>
        <row r="333">
          <cell r="E333" t="str">
            <v>Major Co, Oklahoma</v>
          </cell>
        </row>
        <row r="334">
          <cell r="E334" t="str">
            <v>Marshall Co, Oklahoma</v>
          </cell>
        </row>
        <row r="335">
          <cell r="E335" t="str">
            <v>Mayes Co, Oklahoma</v>
          </cell>
        </row>
        <row r="336">
          <cell r="E336" t="str">
            <v>Murray Co, Oklahoma</v>
          </cell>
        </row>
        <row r="337">
          <cell r="E337" t="str">
            <v>Muskogee Co, Oklahoma</v>
          </cell>
        </row>
        <row r="338">
          <cell r="E338" t="str">
            <v>Noble Co, Oklahoma</v>
          </cell>
        </row>
        <row r="339">
          <cell r="E339" t="str">
            <v>Nowata Co, Oklahoma</v>
          </cell>
        </row>
        <row r="340">
          <cell r="E340" t="str">
            <v>Okfuskee Co, Oklahoma</v>
          </cell>
        </row>
        <row r="341">
          <cell r="E341" t="str">
            <v>Oklahoma Co, Oklahoma</v>
          </cell>
        </row>
        <row r="342">
          <cell r="E342" t="str">
            <v>Okmulgee Co, Oklahoma</v>
          </cell>
        </row>
        <row r="343">
          <cell r="E343" t="str">
            <v>Osage Co, Oklahoma</v>
          </cell>
        </row>
        <row r="344">
          <cell r="E344" t="str">
            <v>Ottawa Co, Oklahoma</v>
          </cell>
        </row>
        <row r="345">
          <cell r="E345" t="str">
            <v>Pawnee Co, Oklahoma</v>
          </cell>
        </row>
        <row r="346">
          <cell r="E346" t="str">
            <v>Payne Co, Oklahoma</v>
          </cell>
        </row>
        <row r="347">
          <cell r="E347" t="str">
            <v>Pittsburg Co, Oklahoma</v>
          </cell>
        </row>
        <row r="348">
          <cell r="E348" t="str">
            <v>Pontotoc Co, Oklahoma</v>
          </cell>
        </row>
        <row r="349">
          <cell r="E349" t="str">
            <v>Pottawatomie Co, Oklahoma</v>
          </cell>
        </row>
        <row r="350">
          <cell r="E350" t="str">
            <v>Pushmataha Co, Oklahoma</v>
          </cell>
        </row>
        <row r="351">
          <cell r="E351" t="str">
            <v>Roger Mills Co, Oklahoma</v>
          </cell>
        </row>
        <row r="352">
          <cell r="E352" t="str">
            <v>Rogers Co, Oklahoma</v>
          </cell>
        </row>
        <row r="353">
          <cell r="E353" t="str">
            <v>Seminole Co, Oklahoma</v>
          </cell>
        </row>
        <row r="354">
          <cell r="E354" t="str">
            <v>Sequoyah Co, Oklahoma</v>
          </cell>
        </row>
        <row r="355">
          <cell r="E355" t="str">
            <v>Stephens Co, Oklahoma</v>
          </cell>
        </row>
        <row r="356">
          <cell r="E356" t="str">
            <v>Texas Co, Oklahoma</v>
          </cell>
        </row>
        <row r="357">
          <cell r="E357" t="str">
            <v>Tillman Co, Oklahoma</v>
          </cell>
        </row>
        <row r="358">
          <cell r="E358" t="str">
            <v>Tulsa Co, Oklahoma</v>
          </cell>
        </row>
        <row r="359">
          <cell r="E359" t="str">
            <v>Wagoner Co, Oklahoma</v>
          </cell>
        </row>
        <row r="360">
          <cell r="E360" t="str">
            <v>Washington Co, Oklahoma</v>
          </cell>
        </row>
        <row r="361">
          <cell r="E361" t="str">
            <v>Washita Co, Oklahoma</v>
          </cell>
        </row>
        <row r="362">
          <cell r="E362" t="str">
            <v>Woods Co, Oklahoma</v>
          </cell>
        </row>
        <row r="363">
          <cell r="E363" t="str">
            <v>Woodward Co, Oklahoma</v>
          </cell>
        </row>
        <row r="364">
          <cell r="E364" t="str">
            <v>Brookings Co, South Dakota</v>
          </cell>
        </row>
        <row r="365">
          <cell r="E365" t="str">
            <v>Dallas Co, Texas</v>
          </cell>
        </row>
        <row r="366">
          <cell r="E366" t="str">
            <v>Other County/State</v>
          </cell>
        </row>
      </sheetData>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N27"/>
  <sheetViews>
    <sheetView showGridLines="0" tabSelected="1" zoomScaleNormal="100" workbookViewId="0">
      <selection activeCell="B5" sqref="B5:E5"/>
    </sheetView>
  </sheetViews>
  <sheetFormatPr defaultColWidth="9.140625" defaultRowHeight="12.75" x14ac:dyDescent="0.2"/>
  <cols>
    <col min="1" max="1" width="17" style="377" bestFit="1" customWidth="1"/>
    <col min="2" max="2" width="43" style="377" customWidth="1"/>
    <col min="3" max="3" width="19.5703125" style="377" customWidth="1"/>
    <col min="4" max="4" width="11.5703125" style="377" customWidth="1"/>
    <col min="5" max="5" width="13.42578125" style="377" customWidth="1"/>
    <col min="6" max="6" width="14.5703125" style="377" customWidth="1"/>
    <col min="7" max="7" width="19.5703125" style="377" customWidth="1"/>
    <col min="8" max="8" width="16.7109375" style="377" hidden="1" customWidth="1"/>
    <col min="9" max="9" width="9.140625" style="377" hidden="1" customWidth="1"/>
    <col min="10" max="10" width="17.5703125" style="377" hidden="1" customWidth="1"/>
    <col min="11" max="11" width="11.7109375" style="377" hidden="1" customWidth="1"/>
    <col min="12" max="12" width="10" style="377" customWidth="1"/>
    <col min="13" max="17" width="9.140625" style="377" customWidth="1"/>
    <col min="18" max="16384" width="9.140625" style="377"/>
  </cols>
  <sheetData>
    <row r="1" spans="1:14" x14ac:dyDescent="0.2">
      <c r="A1" s="714" t="s">
        <v>109</v>
      </c>
      <c r="B1" s="714"/>
      <c r="C1" s="714"/>
      <c r="D1" s="714"/>
      <c r="E1" s="714"/>
      <c r="F1" s="376"/>
      <c r="G1" s="376"/>
      <c r="H1" s="376"/>
    </row>
    <row r="2" spans="1:14" x14ac:dyDescent="0.2">
      <c r="A2" s="714" t="s">
        <v>510</v>
      </c>
      <c r="B2" s="714"/>
      <c r="C2" s="714"/>
      <c r="D2" s="714"/>
      <c r="E2" s="714"/>
      <c r="F2" s="376"/>
      <c r="G2" s="376"/>
      <c r="H2" s="376"/>
    </row>
    <row r="3" spans="1:14" x14ac:dyDescent="0.2">
      <c r="A3" s="381" t="s">
        <v>1684</v>
      </c>
      <c r="B3" s="378"/>
      <c r="C3" s="604"/>
      <c r="D3" s="604"/>
      <c r="E3" s="604"/>
      <c r="F3" s="604"/>
      <c r="G3" s="604"/>
      <c r="H3" s="376"/>
    </row>
    <row r="4" spans="1:14" x14ac:dyDescent="0.2">
      <c r="A4" s="379" t="str">
        <f>IF(OR(B5="",B6="",B7="",B8="",B9=""),"All information on this page must be completed before moving on.","")</f>
        <v>All information on this page must be completed before moving on.</v>
      </c>
      <c r="B4" s="378"/>
      <c r="C4" s="604"/>
      <c r="D4" s="604"/>
      <c r="E4" s="604"/>
      <c r="F4" s="604"/>
      <c r="G4" s="604"/>
      <c r="H4" s="376"/>
    </row>
    <row r="5" spans="1:14" ht="24.95" customHeight="1" x14ac:dyDescent="0.2">
      <c r="A5" s="603" t="s">
        <v>0</v>
      </c>
      <c r="B5" s="717"/>
      <c r="C5" s="718"/>
      <c r="D5" s="718"/>
      <c r="E5" s="718"/>
      <c r="F5" s="380"/>
    </row>
    <row r="6" spans="1:14" ht="24.95" customHeight="1" x14ac:dyDescent="0.2">
      <c r="A6" s="603" t="s">
        <v>512</v>
      </c>
      <c r="B6" s="715"/>
      <c r="C6" s="715"/>
      <c r="D6" s="715"/>
      <c r="E6" s="715"/>
      <c r="F6" s="380"/>
      <c r="H6" s="390" t="e">
        <f>C12/F15</f>
        <v>#DIV/0!</v>
      </c>
      <c r="I6" s="3" t="s">
        <v>1115</v>
      </c>
      <c r="J6" s="3"/>
    </row>
    <row r="7" spans="1:14" ht="24.95" customHeight="1" x14ac:dyDescent="0.2">
      <c r="A7" s="603" t="s">
        <v>513</v>
      </c>
      <c r="B7" s="716" t="str">
        <f>IF(B6="","",IF(B6="Other County/State","Other",IF(OR((MID(B6,FIND(",",B6)+2,256)="Kansas"),(MID(B6,FIND(",",B6)+2,256)="Colorado"),(MID(B6,FIND(",",B6)+2,256)="Oklahoma"),(MID(B6,FIND(",",B6)+2,256)="Nebraska")),MID(B6,FIND(",",B6)+2,256),"Other")))</f>
        <v/>
      </c>
      <c r="C7" s="716"/>
      <c r="D7" s="725"/>
      <c r="E7" s="725"/>
      <c r="F7" s="725"/>
      <c r="H7" s="5">
        <f>IF(C14="",0,C14)</f>
        <v>0</v>
      </c>
      <c r="I7" s="3" t="s">
        <v>1149</v>
      </c>
      <c r="J7" s="3"/>
    </row>
    <row r="8" spans="1:14" ht="24.95" customHeight="1" x14ac:dyDescent="0.2">
      <c r="A8" s="603" t="s">
        <v>511</v>
      </c>
      <c r="B8" s="715"/>
      <c r="C8" s="715"/>
      <c r="D8" s="719" t="str">
        <f>IF(B8="Other","Clarify Project Type in explanation box below.","")</f>
        <v/>
      </c>
      <c r="E8" s="719"/>
      <c r="F8" s="719"/>
      <c r="H8" s="6" t="e">
        <f>C14/C15</f>
        <v>#DIV/0!</v>
      </c>
      <c r="I8" s="3" t="s">
        <v>1111</v>
      </c>
      <c r="J8" s="3"/>
    </row>
    <row r="9" spans="1:14" ht="24.95" customHeight="1" x14ac:dyDescent="0.2">
      <c r="A9" s="603" t="s">
        <v>526</v>
      </c>
      <c r="B9" s="715"/>
      <c r="C9" s="715"/>
      <c r="D9" s="380"/>
      <c r="E9" s="380"/>
      <c r="F9" s="380"/>
      <c r="H9" s="7" t="e">
        <f>(C13/(C12+C13))</f>
        <v>#DIV/0!</v>
      </c>
      <c r="I9" s="3" t="s">
        <v>1110</v>
      </c>
      <c r="J9" s="4"/>
    </row>
    <row r="10" spans="1:14" ht="24.75" customHeight="1" thickBot="1" x14ac:dyDescent="0.25">
      <c r="D10" s="509"/>
      <c r="E10" s="509"/>
      <c r="F10" s="509"/>
      <c r="H10" s="13">
        <f>F15</f>
        <v>0</v>
      </c>
      <c r="I10" s="9" t="s">
        <v>1128</v>
      </c>
      <c r="J10" s="3"/>
    </row>
    <row r="11" spans="1:14" ht="19.5" thickBot="1" x14ac:dyDescent="0.35">
      <c r="B11" s="722" t="s">
        <v>1234</v>
      </c>
      <c r="C11" s="723"/>
      <c r="D11" s="723"/>
      <c r="E11" s="723"/>
      <c r="F11" s="724"/>
      <c r="H11" s="12">
        <f>F13</f>
        <v>0</v>
      </c>
      <c r="I11" s="11" t="s">
        <v>1107</v>
      </c>
      <c r="J11" s="3"/>
    </row>
    <row r="12" spans="1:14" ht="24.95" customHeight="1" x14ac:dyDescent="0.2">
      <c r="B12" s="656" t="s">
        <v>1551</v>
      </c>
      <c r="C12" s="526"/>
      <c r="D12" s="720" t="s">
        <v>1197</v>
      </c>
      <c r="E12" s="721"/>
      <c r="F12" s="524"/>
      <c r="H12" s="12">
        <f>F14</f>
        <v>0</v>
      </c>
      <c r="I12" s="11" t="s">
        <v>1108</v>
      </c>
      <c r="J12" s="3"/>
    </row>
    <row r="13" spans="1:14" ht="24.95" customHeight="1" x14ac:dyDescent="0.2">
      <c r="B13" s="656" t="s">
        <v>1552</v>
      </c>
      <c r="C13" s="526"/>
      <c r="D13" s="710" t="s">
        <v>1091</v>
      </c>
      <c r="E13" s="711"/>
      <c r="F13" s="524"/>
      <c r="H13" s="12">
        <f>F12</f>
        <v>0</v>
      </c>
      <c r="I13" s="11" t="s">
        <v>1161</v>
      </c>
      <c r="J13" s="3"/>
    </row>
    <row r="14" spans="1:14" ht="24.95" customHeight="1" x14ac:dyDescent="0.2">
      <c r="B14" s="656" t="s">
        <v>1553</v>
      </c>
      <c r="C14" s="526"/>
      <c r="D14" s="710" t="s">
        <v>1092</v>
      </c>
      <c r="E14" s="711"/>
      <c r="F14" s="524"/>
      <c r="H14" s="12" t="str">
        <f>IF(C19="Yes","Y",IF(C19="No","N",""))</f>
        <v/>
      </c>
      <c r="I14" s="11" t="s">
        <v>1106</v>
      </c>
      <c r="J14" s="8"/>
    </row>
    <row r="15" spans="1:14" ht="24.95" customHeight="1" x14ac:dyDescent="0.2">
      <c r="B15" s="657" t="s">
        <v>1503</v>
      </c>
      <c r="C15" s="527">
        <f>C12+C13+C14</f>
        <v>0</v>
      </c>
      <c r="D15" s="712" t="s">
        <v>1496</v>
      </c>
      <c r="E15" s="713"/>
      <c r="F15" s="525">
        <f>F12+F13+F14</f>
        <v>0</v>
      </c>
      <c r="L15" s="404"/>
      <c r="M15" s="10"/>
      <c r="N15" s="11"/>
    </row>
    <row r="16" spans="1:14" ht="12" customHeight="1" x14ac:dyDescent="0.2">
      <c r="B16" s="660"/>
      <c r="C16" s="661"/>
      <c r="D16" s="662"/>
      <c r="E16" s="663"/>
      <c r="F16" s="664"/>
      <c r="I16" s="401"/>
      <c r="J16" s="401"/>
      <c r="M16" s="12"/>
      <c r="N16" s="11"/>
    </row>
    <row r="17" spans="2:12" ht="24.95" customHeight="1" x14ac:dyDescent="0.2">
      <c r="B17" s="658" t="s">
        <v>1549</v>
      </c>
      <c r="C17" s="526"/>
      <c r="D17" s="706" t="s">
        <v>1504</v>
      </c>
      <c r="E17" s="707"/>
      <c r="F17" s="524"/>
      <c r="G17" s="401"/>
      <c r="H17" s="401"/>
      <c r="I17" s="404"/>
      <c r="J17" s="404"/>
    </row>
    <row r="18" spans="2:12" ht="24.95" customHeight="1" x14ac:dyDescent="0.2">
      <c r="B18" s="531" t="s">
        <v>1550</v>
      </c>
      <c r="C18" s="532"/>
      <c r="D18" s="706" t="s">
        <v>1505</v>
      </c>
      <c r="E18" s="707"/>
      <c r="F18" s="524"/>
      <c r="K18" s="659"/>
      <c r="L18" s="659"/>
    </row>
    <row r="19" spans="2:12" ht="24.95" customHeight="1" x14ac:dyDescent="0.2">
      <c r="B19" s="523" t="s">
        <v>94</v>
      </c>
      <c r="C19" s="528"/>
      <c r="D19" s="706" t="s">
        <v>1506</v>
      </c>
      <c r="E19" s="707"/>
      <c r="F19" s="524"/>
      <c r="K19" s="659"/>
      <c r="L19" s="659"/>
    </row>
    <row r="20" spans="2:12" ht="24.95" customHeight="1" thickBot="1" x14ac:dyDescent="0.25">
      <c r="B20" s="595" t="s">
        <v>1548</v>
      </c>
      <c r="C20" s="529"/>
      <c r="D20" s="708" t="s">
        <v>1507</v>
      </c>
      <c r="E20" s="709"/>
      <c r="F20" s="530"/>
      <c r="K20" s="659"/>
      <c r="L20" s="659"/>
    </row>
    <row r="21" spans="2:12" ht="16.5" customHeight="1" x14ac:dyDescent="0.2">
      <c r="K21" s="659"/>
      <c r="L21" s="659"/>
    </row>
    <row r="22" spans="2:12" ht="15" customHeight="1" thickBot="1" x14ac:dyDescent="0.25">
      <c r="B22" s="377" t="s">
        <v>1484</v>
      </c>
      <c r="I22" s="659"/>
      <c r="J22" s="659"/>
    </row>
    <row r="23" spans="2:12" ht="27" customHeight="1" x14ac:dyDescent="0.2">
      <c r="B23" s="697"/>
      <c r="C23" s="698"/>
      <c r="D23" s="698"/>
      <c r="E23" s="698"/>
      <c r="F23" s="699"/>
      <c r="G23" s="509"/>
      <c r="I23" s="659"/>
      <c r="J23" s="659"/>
    </row>
    <row r="24" spans="2:12" ht="20.25" customHeight="1" x14ac:dyDescent="0.2">
      <c r="B24" s="700"/>
      <c r="C24" s="701"/>
      <c r="D24" s="701"/>
      <c r="E24" s="701"/>
      <c r="F24" s="702"/>
    </row>
    <row r="25" spans="2:12" ht="27" customHeight="1" thickBot="1" x14ac:dyDescent="0.25">
      <c r="B25" s="703"/>
      <c r="C25" s="704"/>
      <c r="D25" s="704"/>
      <c r="E25" s="704"/>
      <c r="F25" s="705"/>
      <c r="G25" s="509"/>
    </row>
    <row r="26" spans="2:12" ht="40.5" customHeight="1" x14ac:dyDescent="0.2"/>
    <row r="27" spans="2:12" x14ac:dyDescent="0.2">
      <c r="G27" s="510"/>
    </row>
  </sheetData>
  <sheetProtection algorithmName="SHA-512" hashValue="AlTWi4FAOci8hBbM9RBpNgnuHsuuxuw7tKPSzdK4AmffNczJa/L4coOnMtRULXA+9X93JyWYdMJ/unEZSgPt3g==" saltValue="dsA9KcSTzH6ibyaUHEEsTQ=="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19">
    <mergeCell ref="D12:E12"/>
    <mergeCell ref="D17:E17"/>
    <mergeCell ref="B11:F11"/>
    <mergeCell ref="D7:F7"/>
    <mergeCell ref="B9:C9"/>
    <mergeCell ref="A1:E1"/>
    <mergeCell ref="A2:E2"/>
    <mergeCell ref="B8:C8"/>
    <mergeCell ref="B7:C7"/>
    <mergeCell ref="B5:E5"/>
    <mergeCell ref="B6:E6"/>
    <mergeCell ref="D8:F8"/>
    <mergeCell ref="B23:F25"/>
    <mergeCell ref="D18:E18"/>
    <mergeCell ref="D19:E19"/>
    <mergeCell ref="D20:E20"/>
    <mergeCell ref="D13:E13"/>
    <mergeCell ref="D14:E14"/>
    <mergeCell ref="D15:E15"/>
  </mergeCells>
  <conditionalFormatting sqref="F13:F14">
    <cfRule type="expression" dxfId="97" priority="1">
      <formula>#REF!="Enter Rehab or New Construction Units"</formula>
    </cfRule>
  </conditionalFormatting>
  <dataValidations count="9">
    <dataValidation type="list" allowBlank="1" showInputMessage="1" showErrorMessage="1" sqref="C19" xr:uid="{00000000-0002-0000-0100-000000000000}">
      <formula1>"Yes,No"</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6:E6" xr:uid="{00000000-0002-0000-0100-000003000000}">
      <formula1>County</formula1>
    </dataValidation>
    <dataValidation type="list" allowBlank="1" showInputMessage="1" showErrorMessage="1" sqref="B8:C8" xr:uid="{00000000-0002-0000-0100-000004000000}">
      <formula1>"Acquisition,Acquisition Rehabilitation,New Construction,Rehabilitation,Combination - New and Rehabilitation,Other"</formula1>
    </dataValidation>
    <dataValidation type="list" allowBlank="1" showInputMessage="1" showErrorMessage="1" sqref="B9:C9" xr:uid="{00000000-0002-0000-0100-000005000000}">
      <formula1>"Multi-Family,Duplex/Triplex/4-plex,Single Family,Historic Multi-Family"</formula1>
    </dataValidation>
    <dataValidation type="decimal" operator="greaterThanOrEqual" allowBlank="1" showInputMessage="1" showErrorMessage="1" error="Enter a valid square footage" sqref="C13" xr:uid="{8A2E018F-6080-4EAA-AD7E-4DB46236DEAC}">
      <formula1>0</formula1>
    </dataValidation>
    <dataValidation operator="greaterThan" allowBlank="1" showInputMessage="1" showErrorMessage="1" error="Enter a valid square footage" sqref="F15 F18 C15:C18" xr:uid="{E447FFA7-886D-4680-9303-AB07B0755432}"/>
    <dataValidation allowBlank="1" showInputMessage="1" showErrorMessage="1" promptTitle="Non-Residential" prompt="Does not include amenity space such as community buildings. Only include building floor area for commercial or supportive services." sqref="F15 F18 C14:C18" xr:uid="{72AEC089-1122-4DAA-8B9C-CBFD127C62B6}"/>
    <dataValidation type="decimal" operator="greaterThan" allowBlank="1" showInputMessage="1" showErrorMessage="1" error="Enter a valid square footage" sqref="C12 C17:C18" xr:uid="{9175EB79-7790-4016-9A99-C8F70E71114C}">
      <formula1>0</formula1>
    </dataValidation>
    <dataValidation type="list" allowBlank="1" showInputMessage="1" showErrorMessage="1" sqref="C20" xr:uid="{CD155CCF-0FDB-45A2-87F3-CDBA443929C0}">
      <formula1>"Yes, No"</formula1>
    </dataValidation>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K134"/>
  <sheetViews>
    <sheetView showGridLines="0" zoomScaleNormal="100" zoomScaleSheetLayoutView="100" workbookViewId="0">
      <pane ySplit="6" topLeftCell="A7" activePane="bottomLeft" state="frozen"/>
      <selection activeCell="E6" sqref="E6"/>
      <selection pane="bottomLeft" activeCell="C4" sqref="C4"/>
    </sheetView>
  </sheetViews>
  <sheetFormatPr defaultColWidth="7.85546875" defaultRowHeight="12.75" x14ac:dyDescent="0.2"/>
  <cols>
    <col min="1" max="1" width="17.28515625" style="305" customWidth="1"/>
    <col min="2" max="2" width="30" style="302" customWidth="1"/>
    <col min="3" max="5" width="20.28515625" style="304" customWidth="1"/>
    <col min="6" max="6" width="6.85546875" style="343" customWidth="1"/>
    <col min="7" max="7" width="7" style="308" hidden="1" customWidth="1"/>
    <col min="8" max="8" width="30.7109375" style="304" hidden="1" customWidth="1"/>
    <col min="9" max="9" width="6.42578125" style="302" hidden="1" customWidth="1"/>
    <col min="10" max="10" width="12.5703125" style="302" hidden="1" customWidth="1"/>
    <col min="11" max="11" width="45.28515625" style="302" hidden="1" customWidth="1"/>
    <col min="12" max="12" width="11.28515625" style="302" customWidth="1"/>
    <col min="13" max="13" width="7.85546875" style="302" customWidth="1"/>
    <col min="14" max="16384" width="7.85546875" style="302"/>
  </cols>
  <sheetData>
    <row r="1" spans="1:11" s="654" customFormat="1" x14ac:dyDescent="0.2">
      <c r="A1" s="726" t="s">
        <v>104</v>
      </c>
      <c r="B1" s="726"/>
      <c r="C1" s="726"/>
      <c r="D1" s="726"/>
      <c r="E1" s="726"/>
      <c r="F1" s="726"/>
      <c r="G1" s="726"/>
      <c r="H1" s="14"/>
    </row>
    <row r="2" spans="1:11" s="654" customFormat="1" x14ac:dyDescent="0.2">
      <c r="A2" s="726" t="s">
        <v>105</v>
      </c>
      <c r="B2" s="726"/>
      <c r="C2" s="726"/>
      <c r="D2" s="726"/>
      <c r="E2" s="726"/>
      <c r="F2" s="726"/>
      <c r="G2" s="726"/>
      <c r="H2" s="14"/>
    </row>
    <row r="3" spans="1:11" ht="9" customHeight="1" x14ac:dyDescent="0.2"/>
    <row r="4" spans="1:11" ht="20.25" customHeight="1" x14ac:dyDescent="0.2">
      <c r="A4" s="733" t="s">
        <v>1502</v>
      </c>
      <c r="B4" s="734"/>
      <c r="C4" s="593"/>
    </row>
    <row r="5" spans="1:11" ht="9" customHeight="1" thickBot="1" x14ac:dyDescent="0.25">
      <c r="A5" s="605"/>
      <c r="B5" s="605"/>
      <c r="C5" s="655"/>
    </row>
    <row r="6" spans="1:11" x14ac:dyDescent="0.2">
      <c r="A6" s="473"/>
      <c r="B6" s="474"/>
      <c r="C6" s="306" t="s">
        <v>515</v>
      </c>
      <c r="D6" s="306" t="s">
        <v>516</v>
      </c>
      <c r="E6" s="391" t="s">
        <v>1372</v>
      </c>
      <c r="F6" s="307"/>
      <c r="G6" s="302"/>
      <c r="H6" s="460" t="s">
        <v>1467</v>
      </c>
      <c r="J6" s="751" t="s">
        <v>1373</v>
      </c>
      <c r="K6" s="752"/>
    </row>
    <row r="7" spans="1:11" ht="13.5" thickBot="1" x14ac:dyDescent="0.25">
      <c r="A7" s="735" t="s">
        <v>2</v>
      </c>
      <c r="B7" s="735"/>
      <c r="F7" s="308"/>
      <c r="G7" s="302"/>
      <c r="H7" s="461"/>
      <c r="J7" s="392"/>
      <c r="K7" s="393"/>
    </row>
    <row r="8" spans="1:11" x14ac:dyDescent="0.2">
      <c r="A8" s="729" t="s">
        <v>3</v>
      </c>
      <c r="B8" s="730"/>
      <c r="C8" s="310"/>
      <c r="D8" s="310" t="str">
        <f>IF($C$4="Yes", IF(C8="", "", H8), "")</f>
        <v/>
      </c>
      <c r="E8" s="311">
        <f>IF(D8="", C8, IFERROR(C8-D8, 0))</f>
        <v>0</v>
      </c>
      <c r="F8" s="312"/>
      <c r="G8" s="302"/>
      <c r="H8" s="400">
        <f>IF($C$4="No",0,IF('Project Information'!$C$15=0,0,(C8)*'Project Information'!$H$8))</f>
        <v>0</v>
      </c>
      <c r="J8" s="392"/>
      <c r="K8" s="393"/>
    </row>
    <row r="9" spans="1:11" x14ac:dyDescent="0.2">
      <c r="A9" s="729" t="s">
        <v>4</v>
      </c>
      <c r="B9" s="730"/>
      <c r="C9" s="310"/>
      <c r="D9" s="310" t="str">
        <f t="shared" ref="D9:D13" si="0">IF($C$4="Yes", IF(C9="", "", H9), "")</f>
        <v/>
      </c>
      <c r="E9" s="311">
        <f t="shared" ref="E9:E13" si="1">IF(D9="", C9, IFERROR(C9-D9, 0))</f>
        <v>0</v>
      </c>
      <c r="F9" s="312"/>
      <c r="G9" s="302"/>
      <c r="H9" s="400">
        <f>IF($C$4="No",0,IF('Project Information'!$C$15=0,0,(C9)*'Project Information'!$H$8))</f>
        <v>0</v>
      </c>
      <c r="J9" s="392"/>
      <c r="K9" s="393"/>
    </row>
    <row r="10" spans="1:11" x14ac:dyDescent="0.2">
      <c r="A10" s="729" t="s">
        <v>1207</v>
      </c>
      <c r="B10" s="730"/>
      <c r="C10" s="310"/>
      <c r="D10" s="310" t="str">
        <f t="shared" si="0"/>
        <v/>
      </c>
      <c r="E10" s="311">
        <f t="shared" si="1"/>
        <v>0</v>
      </c>
      <c r="F10" s="312"/>
      <c r="G10" s="302"/>
      <c r="H10" s="400">
        <f>IF($C$4="No",0,IF('Project Information'!$C$15=0,0,(C10)*'Project Information'!$H$8))</f>
        <v>0</v>
      </c>
      <c r="J10" s="392"/>
      <c r="K10" s="393"/>
    </row>
    <row r="11" spans="1:11" x14ac:dyDescent="0.2">
      <c r="A11" s="729" t="s">
        <v>20</v>
      </c>
      <c r="B11" s="730"/>
      <c r="C11" s="310"/>
      <c r="D11" s="310" t="str">
        <f t="shared" si="0"/>
        <v/>
      </c>
      <c r="E11" s="311">
        <f t="shared" si="1"/>
        <v>0</v>
      </c>
      <c r="F11" s="312"/>
      <c r="G11" s="302"/>
      <c r="H11" s="400">
        <f>IF($C$4="No",0,IF('Project Information'!$C$15=0,0,(C11)*'Project Information'!$H$8))</f>
        <v>0</v>
      </c>
      <c r="J11" s="392"/>
      <c r="K11" s="393"/>
    </row>
    <row r="12" spans="1:11" x14ac:dyDescent="0.2">
      <c r="A12" s="729" t="s">
        <v>19</v>
      </c>
      <c r="B12" s="730"/>
      <c r="C12" s="310"/>
      <c r="D12" s="310" t="str">
        <f t="shared" si="0"/>
        <v/>
      </c>
      <c r="E12" s="311">
        <f t="shared" si="1"/>
        <v>0</v>
      </c>
      <c r="F12" s="312"/>
      <c r="G12" s="302"/>
      <c r="H12" s="400">
        <f>IF($C$4="No",0,IF('Project Information'!$C$15=0,0,(C12)*'Project Information'!$H$8))</f>
        <v>0</v>
      </c>
      <c r="J12" s="394">
        <f>C10+C11+C12+C13</f>
        <v>0</v>
      </c>
      <c r="K12" s="393" t="s">
        <v>1131</v>
      </c>
    </row>
    <row r="13" spans="1:11" ht="13.5" thickBot="1" x14ac:dyDescent="0.25">
      <c r="A13" s="314" t="s">
        <v>514</v>
      </c>
      <c r="B13" s="389"/>
      <c r="C13" s="316"/>
      <c r="D13" s="310" t="str">
        <f t="shared" si="0"/>
        <v/>
      </c>
      <c r="E13" s="311">
        <f t="shared" si="1"/>
        <v>0</v>
      </c>
      <c r="F13" s="312"/>
      <c r="G13" s="302"/>
      <c r="H13" s="400">
        <f>IF($C$4="No",0,IF('Project Information'!$C$15=0,0,(C13)*'Project Information'!$H$8))</f>
        <v>0</v>
      </c>
      <c r="J13" s="392"/>
      <c r="K13" s="393"/>
    </row>
    <row r="14" spans="1:11" ht="13.5" thickBot="1" x14ac:dyDescent="0.25">
      <c r="A14" s="731" t="s">
        <v>6</v>
      </c>
      <c r="B14" s="732"/>
      <c r="C14" s="317">
        <f>SUM(C8:C13)</f>
        <v>0</v>
      </c>
      <c r="D14" s="317">
        <f>SUM(D8:D13)</f>
        <v>0</v>
      </c>
      <c r="E14" s="318">
        <f>C14-D14</f>
        <v>0</v>
      </c>
      <c r="F14" s="312"/>
      <c r="G14" s="302"/>
      <c r="H14" s="319">
        <f>SUM(H8:H13)</f>
        <v>0</v>
      </c>
      <c r="J14" s="402" t="e">
        <f>(C14+C65)/'Project Information'!F15</f>
        <v>#DIV/0!</v>
      </c>
      <c r="K14" s="393" t="s">
        <v>1104</v>
      </c>
    </row>
    <row r="15" spans="1:11" x14ac:dyDescent="0.2">
      <c r="A15" s="320"/>
      <c r="B15" s="320"/>
      <c r="C15" s="321"/>
      <c r="D15" s="321"/>
      <c r="E15" s="312"/>
      <c r="F15" s="312"/>
      <c r="G15" s="302"/>
      <c r="H15" s="302"/>
      <c r="J15" s="392"/>
      <c r="K15" s="393"/>
    </row>
    <row r="16" spans="1:11" ht="13.5" thickBot="1" x14ac:dyDescent="0.25">
      <c r="A16" s="735" t="s">
        <v>79</v>
      </c>
      <c r="B16" s="735"/>
      <c r="E16" s="322"/>
      <c r="F16" s="312"/>
      <c r="G16" s="302"/>
      <c r="H16" s="302"/>
      <c r="J16" s="392"/>
      <c r="K16" s="393"/>
    </row>
    <row r="17" spans="1:11" x14ac:dyDescent="0.2">
      <c r="A17" s="729" t="s">
        <v>80</v>
      </c>
      <c r="B17" s="730"/>
      <c r="C17" s="310"/>
      <c r="D17" s="310" t="str">
        <f t="shared" ref="D17:D26" si="2">IF($C$4="Yes", IF(C17="", "", H17), "")</f>
        <v/>
      </c>
      <c r="E17" s="311">
        <f t="shared" ref="E17:E26" si="3">IF(D17="", C17, IFERROR(C17-D17, 0))</f>
        <v>0</v>
      </c>
      <c r="F17" s="312"/>
      <c r="G17" s="302"/>
      <c r="H17" s="313">
        <f>IF($C$4="No",0,IF('Project Information'!$C$15=0,0,(C17)*'Project Information'!$H$8))</f>
        <v>0</v>
      </c>
      <c r="J17" s="392"/>
      <c r="K17" s="393"/>
    </row>
    <row r="18" spans="1:11" x14ac:dyDescent="0.2">
      <c r="A18" s="729" t="s">
        <v>67</v>
      </c>
      <c r="B18" s="730"/>
      <c r="C18" s="310"/>
      <c r="D18" s="310" t="str">
        <f t="shared" si="2"/>
        <v/>
      </c>
      <c r="E18" s="311">
        <f t="shared" si="3"/>
        <v>0</v>
      </c>
      <c r="F18" s="312"/>
      <c r="G18" s="302"/>
      <c r="H18" s="400">
        <f>IF($C$4="No",0,IF('Project Information'!$C$15=0,0,(C18)*'Project Information'!$H$8))</f>
        <v>0</v>
      </c>
      <c r="J18" s="392"/>
      <c r="K18" s="393"/>
    </row>
    <row r="19" spans="1:11" x14ac:dyDescent="0.2">
      <c r="A19" s="729" t="s">
        <v>7</v>
      </c>
      <c r="B19" s="730"/>
      <c r="C19" s="310"/>
      <c r="D19" s="310" t="str">
        <f t="shared" si="2"/>
        <v/>
      </c>
      <c r="E19" s="311">
        <f t="shared" si="3"/>
        <v>0</v>
      </c>
      <c r="F19" s="312"/>
      <c r="G19" s="302"/>
      <c r="H19" s="400">
        <f>IF($C$4="No",0,IF('Project Information'!$C$15=0,0,(C19)*'Project Information'!$H$8))</f>
        <v>0</v>
      </c>
      <c r="J19" s="392"/>
      <c r="K19" s="393"/>
    </row>
    <row r="20" spans="1:11" x14ac:dyDescent="0.2">
      <c r="A20" s="729" t="s">
        <v>1208</v>
      </c>
      <c r="B20" s="730"/>
      <c r="C20" s="310"/>
      <c r="D20" s="310" t="str">
        <f t="shared" si="2"/>
        <v/>
      </c>
      <c r="E20" s="311">
        <f t="shared" si="3"/>
        <v>0</v>
      </c>
      <c r="F20" s="312"/>
      <c r="G20" s="302"/>
      <c r="H20" s="400">
        <f>IF($C$4="No",0,IF('Project Information'!$C$15=0,0,(C20)*'Project Information'!$H$8))</f>
        <v>0</v>
      </c>
      <c r="J20" s="392"/>
      <c r="K20" s="393"/>
    </row>
    <row r="21" spans="1:11" x14ac:dyDescent="0.2">
      <c r="A21" s="729" t="s">
        <v>81</v>
      </c>
      <c r="B21" s="730"/>
      <c r="C21" s="310"/>
      <c r="D21" s="310" t="str">
        <f t="shared" si="2"/>
        <v/>
      </c>
      <c r="E21" s="311">
        <f t="shared" si="3"/>
        <v>0</v>
      </c>
      <c r="F21" s="312"/>
      <c r="G21" s="302"/>
      <c r="H21" s="400">
        <f>IF($C$4="No",0,IF('Project Information'!$C$15=0,0,(C21)*'Project Information'!$H$8))</f>
        <v>0</v>
      </c>
      <c r="J21" s="392"/>
      <c r="K21" s="393"/>
    </row>
    <row r="22" spans="1:11" x14ac:dyDescent="0.2">
      <c r="A22" s="729" t="s">
        <v>82</v>
      </c>
      <c r="B22" s="730"/>
      <c r="C22" s="310"/>
      <c r="D22" s="310" t="str">
        <f t="shared" si="2"/>
        <v/>
      </c>
      <c r="E22" s="311">
        <f t="shared" si="3"/>
        <v>0</v>
      </c>
      <c r="F22" s="312"/>
      <c r="G22" s="302"/>
      <c r="H22" s="400">
        <f>IF($C$4="No",0,IF('Project Information'!$C$15=0,0,(C22)*'Project Information'!$H$8))</f>
        <v>0</v>
      </c>
      <c r="J22" s="392"/>
      <c r="K22" s="393"/>
    </row>
    <row r="23" spans="1:11" x14ac:dyDescent="0.2">
      <c r="A23" s="729" t="s">
        <v>83</v>
      </c>
      <c r="B23" s="730"/>
      <c r="C23" s="310"/>
      <c r="D23" s="310" t="str">
        <f t="shared" si="2"/>
        <v/>
      </c>
      <c r="E23" s="311">
        <f t="shared" si="3"/>
        <v>0</v>
      </c>
      <c r="F23" s="312"/>
      <c r="G23" s="302"/>
      <c r="H23" s="400">
        <f>IF($C$4="No",0,IF('Project Information'!$C$15=0,0,(C23)*'Project Information'!$H$8))</f>
        <v>0</v>
      </c>
      <c r="J23" s="392"/>
      <c r="K23" s="393"/>
    </row>
    <row r="24" spans="1:11" x14ac:dyDescent="0.2">
      <c r="A24" s="729" t="s">
        <v>84</v>
      </c>
      <c r="B24" s="730"/>
      <c r="C24" s="310"/>
      <c r="D24" s="310" t="str">
        <f t="shared" si="2"/>
        <v/>
      </c>
      <c r="E24" s="311">
        <f t="shared" si="3"/>
        <v>0</v>
      </c>
      <c r="F24" s="312"/>
      <c r="G24" s="302"/>
      <c r="H24" s="400">
        <f>IF($C$4="No",0,IF('Project Information'!$C$15=0,0,(C24)*'Project Information'!$H$8))</f>
        <v>0</v>
      </c>
      <c r="J24" s="392"/>
      <c r="K24" s="393"/>
    </row>
    <row r="25" spans="1:11" x14ac:dyDescent="0.2">
      <c r="A25" s="729" t="s">
        <v>85</v>
      </c>
      <c r="B25" s="730"/>
      <c r="C25" s="310"/>
      <c r="D25" s="310" t="str">
        <f t="shared" si="2"/>
        <v/>
      </c>
      <c r="E25" s="311">
        <f t="shared" si="3"/>
        <v>0</v>
      </c>
      <c r="F25" s="312"/>
      <c r="G25" s="302"/>
      <c r="H25" s="400">
        <f>IF($C$4="No",0,IF('Project Information'!$C$15=0,0,(C25)*'Project Information'!$H$8))</f>
        <v>0</v>
      </c>
      <c r="J25" s="392"/>
      <c r="K25" s="393"/>
    </row>
    <row r="26" spans="1:11" ht="13.5" thickBot="1" x14ac:dyDescent="0.25">
      <c r="A26" s="314" t="s">
        <v>514</v>
      </c>
      <c r="B26" s="315"/>
      <c r="C26" s="310"/>
      <c r="D26" s="310" t="str">
        <f t="shared" si="2"/>
        <v/>
      </c>
      <c r="E26" s="311">
        <f t="shared" si="3"/>
        <v>0</v>
      </c>
      <c r="F26" s="312"/>
      <c r="G26" s="302"/>
      <c r="H26" s="309">
        <f>IF($C$4="No",0,IF('Project Information'!$C$15=0,0,(C26)*'Project Information'!$H$8))</f>
        <v>0</v>
      </c>
      <c r="J26" s="392"/>
      <c r="K26" s="393"/>
    </row>
    <row r="27" spans="1:11" ht="13.5" thickBot="1" x14ac:dyDescent="0.25">
      <c r="A27" s="731" t="s">
        <v>6</v>
      </c>
      <c r="B27" s="732"/>
      <c r="C27" s="323">
        <f>SUM(C17:C26)</f>
        <v>0</v>
      </c>
      <c r="D27" s="323">
        <f>SUM(D17:D26)</f>
        <v>0</v>
      </c>
      <c r="E27" s="318">
        <f>C27-D27</f>
        <v>0</v>
      </c>
      <c r="F27" s="312"/>
      <c r="G27" s="302"/>
      <c r="H27" s="309">
        <f>SUM(H17:H26)</f>
        <v>0</v>
      </c>
      <c r="J27" s="395" t="e">
        <f>J28+J29</f>
        <v>#DIV/0!</v>
      </c>
      <c r="K27" s="393" t="s">
        <v>1177</v>
      </c>
    </row>
    <row r="28" spans="1:11" x14ac:dyDescent="0.2">
      <c r="A28" s="750" t="str">
        <f>IF(AND(A134="New Construction",C27=0),"Land Improvement costs must be reported separately from New Construction Costs.","")</f>
        <v/>
      </c>
      <c r="B28" s="750"/>
      <c r="C28" s="750"/>
      <c r="D28" s="750"/>
      <c r="E28" s="750"/>
      <c r="F28" s="312"/>
      <c r="G28" s="302"/>
      <c r="H28" s="302"/>
      <c r="J28" s="402" t="e">
        <f>C30+(C30/(C30+C31))*(C27+C32+C33+C34+C35+C39+C41)</f>
        <v>#DIV/0!</v>
      </c>
      <c r="K28" s="393" t="s">
        <v>1121</v>
      </c>
    </row>
    <row r="29" spans="1:11" ht="13.5" thickBot="1" x14ac:dyDescent="0.25">
      <c r="A29" s="735" t="s">
        <v>93</v>
      </c>
      <c r="B29" s="735"/>
      <c r="E29" s="324"/>
      <c r="F29" s="312"/>
      <c r="G29" s="302"/>
      <c r="H29" s="302"/>
      <c r="J29" s="395" t="e">
        <f>C31+(C31/(C31+C30))*(C27+C32+C33+C34+C35+C39+C41)</f>
        <v>#DIV/0!</v>
      </c>
      <c r="K29" s="393" t="s">
        <v>1120</v>
      </c>
    </row>
    <row r="30" spans="1:11" ht="12.75" customHeight="1" x14ac:dyDescent="0.2">
      <c r="A30" s="729" t="s">
        <v>68</v>
      </c>
      <c r="B30" s="730"/>
      <c r="C30" s="310"/>
      <c r="D30" s="310" t="str">
        <f t="shared" ref="D30:D41" si="4">IF($C$4="Yes", IF(C30="", "", H30), "")</f>
        <v/>
      </c>
      <c r="E30" s="311">
        <f t="shared" ref="E30:E41" si="5">IF(D30="", C30, IFERROR(C30-D30, 0))</f>
        <v>0</v>
      </c>
      <c r="F30" s="312"/>
      <c r="G30" s="325"/>
      <c r="H30" s="313">
        <f>IF($C$4="No",0,IF('Project Information'!$C$15=0,0,(C30)*'Project Information'!$H$8))</f>
        <v>0</v>
      </c>
      <c r="J30" s="402"/>
      <c r="K30" s="393"/>
    </row>
    <row r="31" spans="1:11" x14ac:dyDescent="0.2">
      <c r="A31" s="729" t="s">
        <v>9</v>
      </c>
      <c r="B31" s="730"/>
      <c r="C31" s="310"/>
      <c r="D31" s="310" t="str">
        <f t="shared" si="4"/>
        <v/>
      </c>
      <c r="E31" s="311">
        <f t="shared" si="5"/>
        <v>0</v>
      </c>
      <c r="F31" s="312"/>
      <c r="G31" s="325"/>
      <c r="H31" s="400">
        <f>IF($C$4="No",0,IF('Project Information'!$C$15=0,0,(C31)*'Project Information'!$H$8))</f>
        <v>0</v>
      </c>
      <c r="J31" s="402"/>
      <c r="K31" s="393"/>
    </row>
    <row r="32" spans="1:11" x14ac:dyDescent="0.2">
      <c r="A32" s="729" t="s">
        <v>1209</v>
      </c>
      <c r="B32" s="730"/>
      <c r="C32" s="310"/>
      <c r="D32" s="310" t="str">
        <f t="shared" si="4"/>
        <v/>
      </c>
      <c r="E32" s="311">
        <f t="shared" si="5"/>
        <v>0</v>
      </c>
      <c r="F32" s="312"/>
      <c r="G32" s="302"/>
      <c r="H32" s="400">
        <f>IF($C$4="No",0,IF('Project Information'!$C$15=0,0,(C32)*'Project Information'!$H$8))</f>
        <v>0</v>
      </c>
      <c r="J32" s="392"/>
      <c r="K32" s="393"/>
    </row>
    <row r="33" spans="1:11" x14ac:dyDescent="0.2">
      <c r="A33" s="729" t="s">
        <v>69</v>
      </c>
      <c r="B33" s="730"/>
      <c r="C33" s="310"/>
      <c r="D33" s="310" t="str">
        <f t="shared" si="4"/>
        <v/>
      </c>
      <c r="E33" s="311">
        <f t="shared" si="5"/>
        <v>0</v>
      </c>
      <c r="F33" s="312"/>
      <c r="G33" s="326"/>
      <c r="H33" s="400">
        <f>IF($C$4="No",0,IF('Project Information'!$C$15=0,0,(C33)*'Project Information'!$H$8))</f>
        <v>0</v>
      </c>
      <c r="J33" s="396" t="e">
        <f>C33/(C30+C31+C32+C27)</f>
        <v>#DIV/0!</v>
      </c>
      <c r="K33" s="393" t="s">
        <v>1112</v>
      </c>
    </row>
    <row r="34" spans="1:11" x14ac:dyDescent="0.2">
      <c r="A34" s="729" t="s">
        <v>534</v>
      </c>
      <c r="B34" s="730"/>
      <c r="C34" s="310"/>
      <c r="D34" s="310" t="str">
        <f t="shared" si="4"/>
        <v/>
      </c>
      <c r="E34" s="311">
        <f t="shared" si="5"/>
        <v>0</v>
      </c>
      <c r="F34" s="312"/>
      <c r="G34" s="302"/>
      <c r="H34" s="400">
        <f>IF($C$4="No",0,IF('Project Information'!$C$15=0,0,(C34)*'Project Information'!$H$8))</f>
        <v>0</v>
      </c>
      <c r="J34" s="396" t="e">
        <f>C34/(C27+C30+C31+C32)</f>
        <v>#DIV/0!</v>
      </c>
      <c r="K34" s="393" t="s">
        <v>1113</v>
      </c>
    </row>
    <row r="35" spans="1:11" x14ac:dyDescent="0.2">
      <c r="A35" s="729" t="s">
        <v>535</v>
      </c>
      <c r="B35" s="730"/>
      <c r="C35" s="310"/>
      <c r="D35" s="310" t="str">
        <f t="shared" si="4"/>
        <v/>
      </c>
      <c r="E35" s="311">
        <f t="shared" si="5"/>
        <v>0</v>
      </c>
      <c r="F35" s="312"/>
      <c r="G35" s="302"/>
      <c r="H35" s="400">
        <f>IF($C$4="No",0,IF('Project Information'!$C$15=0,0,(C35)*'Project Information'!$H$8))</f>
        <v>0</v>
      </c>
      <c r="J35" s="396" t="e">
        <f>C35/(C27+C30+C31+C32)</f>
        <v>#DIV/0!</v>
      </c>
      <c r="K35" s="393" t="s">
        <v>1114</v>
      </c>
    </row>
    <row r="36" spans="1:11" x14ac:dyDescent="0.2">
      <c r="A36" s="729" t="s">
        <v>70</v>
      </c>
      <c r="B36" s="730"/>
      <c r="C36" s="310"/>
      <c r="D36" s="310" t="str">
        <f t="shared" si="4"/>
        <v/>
      </c>
      <c r="E36" s="311">
        <f t="shared" si="5"/>
        <v>0</v>
      </c>
      <c r="F36" s="312"/>
      <c r="G36" s="302"/>
      <c r="H36" s="400">
        <f>IF($C$4="No",0,IF('Project Information'!$C$15=0,0,(C36)*'Project Information'!$H$8))</f>
        <v>0</v>
      </c>
      <c r="J36" s="392"/>
      <c r="K36" s="393"/>
    </row>
    <row r="37" spans="1:11" x14ac:dyDescent="0.2">
      <c r="A37" s="737" t="s">
        <v>1346</v>
      </c>
      <c r="B37" s="738"/>
      <c r="C37" s="310"/>
      <c r="D37" s="310" t="str">
        <f t="shared" si="4"/>
        <v/>
      </c>
      <c r="E37" s="311">
        <f t="shared" si="5"/>
        <v>0</v>
      </c>
      <c r="F37" s="312"/>
      <c r="G37" s="302"/>
      <c r="H37" s="400">
        <f>IF($C$4="No",0,IF('Project Information'!$C$15=0,0,(C37)*'Project Information'!$H$8))</f>
        <v>0</v>
      </c>
      <c r="J37" s="392"/>
      <c r="K37" s="393"/>
    </row>
    <row r="38" spans="1:11" x14ac:dyDescent="0.2">
      <c r="A38" s="737" t="s">
        <v>1347</v>
      </c>
      <c r="B38" s="738"/>
      <c r="C38" s="310"/>
      <c r="D38" s="310" t="str">
        <f t="shared" si="4"/>
        <v/>
      </c>
      <c r="E38" s="311">
        <f t="shared" si="5"/>
        <v>0</v>
      </c>
      <c r="F38" s="312"/>
      <c r="G38" s="302"/>
      <c r="H38" s="400">
        <f>IF($C$4="No",0,IF('Project Information'!$C$15=0,0,(C38)*'Project Information'!$H$8))</f>
        <v>0</v>
      </c>
      <c r="J38" s="392"/>
      <c r="K38" s="393"/>
    </row>
    <row r="39" spans="1:11" x14ac:dyDescent="0.2">
      <c r="A39" s="737" t="s">
        <v>1348</v>
      </c>
      <c r="B39" s="738"/>
      <c r="C39" s="310"/>
      <c r="D39" s="310" t="str">
        <f t="shared" si="4"/>
        <v/>
      </c>
      <c r="E39" s="311">
        <f t="shared" si="5"/>
        <v>0</v>
      </c>
      <c r="F39" s="312"/>
      <c r="G39" s="302"/>
      <c r="H39" s="400">
        <f>IF($C$4="No",0,IF('Project Information'!$C$15=0,0,(C39)*'Project Information'!$H$8))</f>
        <v>0</v>
      </c>
      <c r="J39" s="392"/>
      <c r="K39" s="393"/>
    </row>
    <row r="40" spans="1:11" ht="25.5" x14ac:dyDescent="0.2">
      <c r="A40" s="388" t="s">
        <v>1349</v>
      </c>
      <c r="B40" s="389"/>
      <c r="C40" s="310"/>
      <c r="D40" s="310" t="str">
        <f t="shared" si="4"/>
        <v/>
      </c>
      <c r="E40" s="311">
        <f t="shared" si="5"/>
        <v>0</v>
      </c>
      <c r="F40" s="312"/>
      <c r="G40" s="302"/>
      <c r="H40" s="400">
        <f>IF($C$4="No",0,IF('Project Information'!$C$15=0,0,(C40)*'Project Information'!$H$8))</f>
        <v>0</v>
      </c>
      <c r="J40" s="392"/>
      <c r="K40" s="393"/>
    </row>
    <row r="41" spans="1:11" ht="42.75" customHeight="1" thickBot="1" x14ac:dyDescent="0.25">
      <c r="A41" s="388" t="s">
        <v>1350</v>
      </c>
      <c r="B41" s="389"/>
      <c r="C41" s="310"/>
      <c r="D41" s="310" t="str">
        <f t="shared" si="4"/>
        <v/>
      </c>
      <c r="E41" s="311">
        <f t="shared" si="5"/>
        <v>0</v>
      </c>
      <c r="F41" s="312"/>
      <c r="G41" s="302"/>
      <c r="H41" s="309">
        <f>IF($C$4="No",0,IF('Project Information'!$C$15=0,0,(C41)*'Project Information'!$H$8))</f>
        <v>0</v>
      </c>
      <c r="J41" s="392"/>
      <c r="K41" s="393"/>
    </row>
    <row r="42" spans="1:11" ht="13.5" thickBot="1" x14ac:dyDescent="0.25">
      <c r="A42" s="731" t="s">
        <v>6</v>
      </c>
      <c r="B42" s="732"/>
      <c r="C42" s="317">
        <f>SUM(C30:C41)</f>
        <v>0</v>
      </c>
      <c r="D42" s="317">
        <f>SUM(D30:D41)</f>
        <v>0</v>
      </c>
      <c r="E42" s="318">
        <f>C42-D42</f>
        <v>0</v>
      </c>
      <c r="F42" s="312"/>
      <c r="G42" s="302"/>
      <c r="H42" s="309">
        <f>SUM(H30:H41)</f>
        <v>0</v>
      </c>
      <c r="J42" s="392"/>
      <c r="K42" s="393"/>
    </row>
    <row r="43" spans="1:11" x14ac:dyDescent="0.2">
      <c r="B43" s="305"/>
      <c r="E43" s="324"/>
      <c r="F43" s="312"/>
      <c r="G43" s="302"/>
      <c r="H43" s="302"/>
      <c r="J43" s="392"/>
      <c r="K43" s="393"/>
    </row>
    <row r="44" spans="1:11" ht="13.5" thickBot="1" x14ac:dyDescent="0.25">
      <c r="A44" s="735" t="s">
        <v>11</v>
      </c>
      <c r="B44" s="735"/>
      <c r="E44" s="324"/>
      <c r="F44" s="312"/>
      <c r="G44" s="302"/>
      <c r="H44" s="302"/>
      <c r="J44" s="392"/>
      <c r="K44" s="393"/>
    </row>
    <row r="45" spans="1:11" x14ac:dyDescent="0.2">
      <c r="A45" s="729" t="s">
        <v>1210</v>
      </c>
      <c r="B45" s="730"/>
      <c r="C45" s="310"/>
      <c r="D45" s="310" t="str">
        <f t="shared" ref="D45:D52" si="6">IF($C$4="Yes", IF(C45="", "", H45), "")</f>
        <v/>
      </c>
      <c r="E45" s="311">
        <f t="shared" ref="E45:E52" si="7">IF(D45="", C45, IFERROR(C45-D45, 0))</f>
        <v>0</v>
      </c>
      <c r="F45" s="312"/>
      <c r="G45" s="302"/>
      <c r="H45" s="313">
        <f>IF($C$4="No",0,IF('Project Information'!$C$15=0,0,(C45)*'Project Information'!$H$8))</f>
        <v>0</v>
      </c>
      <c r="J45" s="392"/>
      <c r="K45" s="393"/>
    </row>
    <row r="46" spans="1:11" x14ac:dyDescent="0.2">
      <c r="A46" s="729" t="s">
        <v>8</v>
      </c>
      <c r="B46" s="730"/>
      <c r="C46" s="310"/>
      <c r="D46" s="310" t="str">
        <f t="shared" si="6"/>
        <v/>
      </c>
      <c r="E46" s="311">
        <f t="shared" si="7"/>
        <v>0</v>
      </c>
      <c r="F46" s="312"/>
      <c r="G46" s="302"/>
      <c r="H46" s="400">
        <f>IF($C$4="No",0,IF('Project Information'!$C$15=0,0,(C46)*'Project Information'!$H$8))</f>
        <v>0</v>
      </c>
      <c r="J46" s="392"/>
      <c r="K46" s="393"/>
    </row>
    <row r="47" spans="1:11" x14ac:dyDescent="0.2">
      <c r="A47" s="729" t="s">
        <v>1211</v>
      </c>
      <c r="B47" s="730"/>
      <c r="C47" s="310"/>
      <c r="D47" s="310" t="str">
        <f t="shared" si="6"/>
        <v/>
      </c>
      <c r="E47" s="311">
        <f t="shared" si="7"/>
        <v>0</v>
      </c>
      <c r="F47" s="312"/>
      <c r="G47" s="302"/>
      <c r="H47" s="400">
        <f>IF($C$4="No",0,IF('Project Information'!$C$15=0,0,(C47)*'Project Information'!$H$8))</f>
        <v>0</v>
      </c>
      <c r="J47" s="392"/>
      <c r="K47" s="393"/>
    </row>
    <row r="48" spans="1:11" x14ac:dyDescent="0.2">
      <c r="A48" s="729" t="s">
        <v>1212</v>
      </c>
      <c r="B48" s="730"/>
      <c r="C48" s="310"/>
      <c r="D48" s="310" t="str">
        <f t="shared" si="6"/>
        <v/>
      </c>
      <c r="E48" s="311">
        <f t="shared" si="7"/>
        <v>0</v>
      </c>
      <c r="F48" s="312"/>
      <c r="G48" s="302"/>
      <c r="H48" s="400">
        <f>IF($C$4="No",0,IF('Project Information'!$C$15=0,0,(C48)*'Project Information'!$H$8))</f>
        <v>0</v>
      </c>
      <c r="J48" s="392"/>
      <c r="K48" s="393"/>
    </row>
    <row r="49" spans="1:11" x14ac:dyDescent="0.2">
      <c r="A49" s="729" t="s">
        <v>1213</v>
      </c>
      <c r="B49" s="730"/>
      <c r="C49" s="310"/>
      <c r="D49" s="310" t="str">
        <f t="shared" si="6"/>
        <v/>
      </c>
      <c r="E49" s="311">
        <f t="shared" si="7"/>
        <v>0</v>
      </c>
      <c r="F49" s="312"/>
      <c r="G49" s="302"/>
      <c r="H49" s="400">
        <f>IF($C$4="No",0,IF('Project Information'!$C$15=0,0,(C49)*'Project Information'!$H$8))</f>
        <v>0</v>
      </c>
      <c r="J49" s="392"/>
      <c r="K49" s="393"/>
    </row>
    <row r="50" spans="1:11" x14ac:dyDescent="0.2">
      <c r="A50" s="729" t="s">
        <v>71</v>
      </c>
      <c r="B50" s="730"/>
      <c r="C50" s="310"/>
      <c r="D50" s="310" t="str">
        <f t="shared" si="6"/>
        <v/>
      </c>
      <c r="E50" s="311">
        <f t="shared" si="7"/>
        <v>0</v>
      </c>
      <c r="F50" s="312"/>
      <c r="G50" s="302"/>
      <c r="H50" s="400">
        <f>IF($C$4="No",0,IF('Project Information'!$C$15=0,0,(C50)*'Project Information'!$H$8))</f>
        <v>0</v>
      </c>
      <c r="J50" s="392"/>
      <c r="K50" s="393"/>
    </row>
    <row r="51" spans="1:11" x14ac:dyDescent="0.2">
      <c r="A51" s="729" t="s">
        <v>72</v>
      </c>
      <c r="B51" s="730"/>
      <c r="C51" s="310"/>
      <c r="D51" s="310" t="str">
        <f t="shared" si="6"/>
        <v/>
      </c>
      <c r="E51" s="311">
        <f t="shared" si="7"/>
        <v>0</v>
      </c>
      <c r="F51" s="312"/>
      <c r="G51" s="302"/>
      <c r="H51" s="400">
        <f>IF($C$4="No",0,IF('Project Information'!$C$15=0,0,(C51)*'Project Information'!$H$8))</f>
        <v>0</v>
      </c>
      <c r="J51" s="392"/>
      <c r="K51" s="393"/>
    </row>
    <row r="52" spans="1:11" ht="13.5" thickBot="1" x14ac:dyDescent="0.25">
      <c r="A52" s="314" t="s">
        <v>514</v>
      </c>
      <c r="B52" s="389"/>
      <c r="C52" s="310"/>
      <c r="D52" s="310" t="str">
        <f t="shared" si="6"/>
        <v/>
      </c>
      <c r="E52" s="311">
        <f t="shared" si="7"/>
        <v>0</v>
      </c>
      <c r="F52" s="312"/>
      <c r="G52" s="302"/>
      <c r="H52" s="309">
        <f>IF($C$4="No",0,IF('Project Information'!$C$15=0,0,(C52)*'Project Information'!$H$8))</f>
        <v>0</v>
      </c>
      <c r="J52" s="392"/>
      <c r="K52" s="393"/>
    </row>
    <row r="53" spans="1:11" ht="13.5" thickBot="1" x14ac:dyDescent="0.25">
      <c r="A53" s="731" t="s">
        <v>6</v>
      </c>
      <c r="B53" s="732"/>
      <c r="C53" s="317">
        <f>SUM(C45:C52)</f>
        <v>0</v>
      </c>
      <c r="D53" s="317">
        <f>SUM(D45:D52)</f>
        <v>0</v>
      </c>
      <c r="E53" s="318">
        <f>C53-D53</f>
        <v>0</v>
      </c>
      <c r="F53" s="312"/>
      <c r="G53" s="302"/>
      <c r="H53" s="309">
        <f>SUM(H45:H52)</f>
        <v>0</v>
      </c>
      <c r="J53" s="392"/>
      <c r="K53" s="393"/>
    </row>
    <row r="54" spans="1:11" x14ac:dyDescent="0.2">
      <c r="B54" s="305"/>
      <c r="E54" s="324"/>
      <c r="F54" s="312"/>
      <c r="G54" s="302"/>
      <c r="H54" s="302"/>
      <c r="J54" s="392"/>
      <c r="K54" s="393"/>
    </row>
    <row r="55" spans="1:11" ht="13.5" thickBot="1" x14ac:dyDescent="0.25">
      <c r="A55" s="735" t="s">
        <v>12</v>
      </c>
      <c r="B55" s="735"/>
      <c r="E55" s="324"/>
      <c r="F55" s="312"/>
      <c r="G55" s="302"/>
      <c r="H55" s="302"/>
      <c r="J55" s="392"/>
      <c r="K55" s="393"/>
    </row>
    <row r="56" spans="1:11" x14ac:dyDescent="0.2">
      <c r="A56" s="729" t="s">
        <v>73</v>
      </c>
      <c r="B56" s="730"/>
      <c r="C56" s="310"/>
      <c r="D56" s="310" t="str">
        <f t="shared" ref="D56:D68" si="8">IF($C$4="Yes", IF(C56="", "", H56), "")</f>
        <v/>
      </c>
      <c r="E56" s="311">
        <f t="shared" ref="E56:E68" si="9">IF(D56="", C56, IFERROR(C56-D56, 0))</f>
        <v>0</v>
      </c>
      <c r="F56" s="312"/>
      <c r="G56" s="302"/>
      <c r="H56" s="313">
        <f>IF($C$4="No",0,IF('Project Information'!$C$15=0,0,(C56)*'Project Information'!$H$8))</f>
        <v>0</v>
      </c>
      <c r="J56" s="392"/>
      <c r="K56" s="393"/>
    </row>
    <row r="57" spans="1:11" x14ac:dyDescent="0.2">
      <c r="A57" s="729" t="s">
        <v>13</v>
      </c>
      <c r="B57" s="730"/>
      <c r="C57" s="310"/>
      <c r="D57" s="310" t="str">
        <f t="shared" si="8"/>
        <v/>
      </c>
      <c r="E57" s="311">
        <f t="shared" si="9"/>
        <v>0</v>
      </c>
      <c r="F57" s="312"/>
      <c r="G57" s="302"/>
      <c r="H57" s="400">
        <f>IF($C$4="No",0,IF('Project Information'!$C$15=0,0,(C57)*'Project Information'!$H$8))</f>
        <v>0</v>
      </c>
      <c r="J57" s="394">
        <f>C56+C67</f>
        <v>0</v>
      </c>
      <c r="K57" s="393" t="s">
        <v>1096</v>
      </c>
    </row>
    <row r="58" spans="1:11" x14ac:dyDescent="0.2">
      <c r="A58" s="729" t="s">
        <v>14</v>
      </c>
      <c r="B58" s="730"/>
      <c r="C58" s="310"/>
      <c r="D58" s="310" t="str">
        <f t="shared" si="8"/>
        <v/>
      </c>
      <c r="E58" s="311">
        <f t="shared" si="9"/>
        <v>0</v>
      </c>
      <c r="F58" s="312"/>
      <c r="G58" s="302"/>
      <c r="H58" s="400">
        <f>IF($C$4="No",0,IF('Project Information'!$C$15=0,0,(C58)*'Project Information'!$H$8))</f>
        <v>0</v>
      </c>
      <c r="J58" s="394">
        <f>C60+C61+C62+C63+C64+C65+C66</f>
        <v>0</v>
      </c>
      <c r="K58" s="393" t="s">
        <v>1097</v>
      </c>
    </row>
    <row r="59" spans="1:11" x14ac:dyDescent="0.2">
      <c r="A59" s="729" t="s">
        <v>15</v>
      </c>
      <c r="B59" s="730"/>
      <c r="C59" s="310"/>
      <c r="D59" s="310" t="str">
        <f t="shared" si="8"/>
        <v/>
      </c>
      <c r="E59" s="311">
        <f t="shared" si="9"/>
        <v>0</v>
      </c>
      <c r="F59" s="312"/>
      <c r="G59" s="302"/>
      <c r="H59" s="400">
        <f>IF($C$4="No",0,IF('Project Information'!$C$15=0,0,(C59)*'Project Information'!$H$8))</f>
        <v>0</v>
      </c>
      <c r="J59" s="392"/>
      <c r="K59" s="393"/>
    </row>
    <row r="60" spans="1:11" x14ac:dyDescent="0.2">
      <c r="A60" s="729" t="s">
        <v>74</v>
      </c>
      <c r="B60" s="730"/>
      <c r="C60" s="310"/>
      <c r="D60" s="310" t="str">
        <f t="shared" si="8"/>
        <v/>
      </c>
      <c r="E60" s="311">
        <f t="shared" si="9"/>
        <v>0</v>
      </c>
      <c r="F60" s="312"/>
      <c r="G60" s="302"/>
      <c r="H60" s="400">
        <f>IF($C$4="No",0,IF('Project Information'!$C$15=0,0,(C60)*'Project Information'!$H$8))</f>
        <v>0</v>
      </c>
      <c r="J60" s="392"/>
      <c r="K60" s="393"/>
    </row>
    <row r="61" spans="1:11" x14ac:dyDescent="0.2">
      <c r="A61" s="729" t="s">
        <v>1214</v>
      </c>
      <c r="B61" s="730"/>
      <c r="C61" s="310"/>
      <c r="D61" s="310" t="str">
        <f t="shared" si="8"/>
        <v/>
      </c>
      <c r="E61" s="311">
        <f t="shared" si="9"/>
        <v>0</v>
      </c>
      <c r="F61" s="312"/>
      <c r="G61" s="302"/>
      <c r="H61" s="400">
        <f>IF($C$4="No",0,IF('Project Information'!$C$15=0,0,(C61)*'Project Information'!$H$8))</f>
        <v>0</v>
      </c>
      <c r="J61" s="392"/>
      <c r="K61" s="393"/>
    </row>
    <row r="62" spans="1:11" x14ac:dyDescent="0.2">
      <c r="A62" s="729" t="s">
        <v>16</v>
      </c>
      <c r="B62" s="730"/>
      <c r="C62" s="310"/>
      <c r="D62" s="310" t="str">
        <f t="shared" si="8"/>
        <v/>
      </c>
      <c r="E62" s="311">
        <f t="shared" si="9"/>
        <v>0</v>
      </c>
      <c r="F62" s="312"/>
      <c r="G62" s="302"/>
      <c r="H62" s="400">
        <f>IF($C$4="No",0,IF('Project Information'!$C$15=0,0,(C62)*'Project Information'!$H$8))</f>
        <v>0</v>
      </c>
      <c r="J62" s="392"/>
      <c r="K62" s="393"/>
    </row>
    <row r="63" spans="1:11" x14ac:dyDescent="0.2">
      <c r="A63" s="729" t="s">
        <v>17</v>
      </c>
      <c r="B63" s="730"/>
      <c r="C63" s="310"/>
      <c r="D63" s="310" t="str">
        <f t="shared" si="8"/>
        <v/>
      </c>
      <c r="E63" s="311">
        <f t="shared" si="9"/>
        <v>0</v>
      </c>
      <c r="F63" s="312"/>
      <c r="G63" s="302"/>
      <c r="H63" s="400">
        <f>IF($C$4="No",0,IF('Project Information'!$C$15=0,0,(C63)*'Project Information'!$H$8))</f>
        <v>0</v>
      </c>
      <c r="J63" s="392"/>
      <c r="K63" s="393"/>
    </row>
    <row r="64" spans="1:11" x14ac:dyDescent="0.2">
      <c r="A64" s="729" t="s">
        <v>18</v>
      </c>
      <c r="B64" s="730"/>
      <c r="C64" s="310"/>
      <c r="D64" s="310" t="str">
        <f t="shared" si="8"/>
        <v/>
      </c>
      <c r="E64" s="311">
        <f t="shared" si="9"/>
        <v>0</v>
      </c>
      <c r="F64" s="312"/>
      <c r="G64" s="302"/>
      <c r="H64" s="400">
        <f>IF($C$4="No",0,IF('Project Information'!$C$15=0,0,(C64)*'Project Information'!$H$8))</f>
        <v>0</v>
      </c>
      <c r="J64" s="392"/>
      <c r="K64" s="393"/>
    </row>
    <row r="65" spans="1:11" x14ac:dyDescent="0.2">
      <c r="A65" s="729" t="s">
        <v>19</v>
      </c>
      <c r="B65" s="730"/>
      <c r="C65" s="310"/>
      <c r="D65" s="310" t="str">
        <f t="shared" si="8"/>
        <v/>
      </c>
      <c r="E65" s="311">
        <f t="shared" si="9"/>
        <v>0</v>
      </c>
      <c r="F65" s="312"/>
      <c r="G65" s="302"/>
      <c r="H65" s="400">
        <f>IF($C$4="No",0,IF('Project Information'!$C$15=0,0,(C65)*'Project Information'!$H$8))</f>
        <v>0</v>
      </c>
      <c r="J65" s="392"/>
      <c r="K65" s="393"/>
    </row>
    <row r="66" spans="1:11" x14ac:dyDescent="0.2">
      <c r="A66" s="729" t="s">
        <v>75</v>
      </c>
      <c r="B66" s="730"/>
      <c r="C66" s="310"/>
      <c r="D66" s="310" t="str">
        <f t="shared" si="8"/>
        <v/>
      </c>
      <c r="E66" s="311">
        <f t="shared" si="9"/>
        <v>0</v>
      </c>
      <c r="F66" s="312"/>
      <c r="G66" s="302"/>
      <c r="H66" s="400">
        <f>IF($C$4="No",0,IF('Project Information'!$C$15=0,0,(C66)*'Project Information'!$H$8))</f>
        <v>0</v>
      </c>
      <c r="J66" s="392"/>
      <c r="K66" s="393"/>
    </row>
    <row r="67" spans="1:11" x14ac:dyDescent="0.2">
      <c r="A67" s="729" t="s">
        <v>63</v>
      </c>
      <c r="B67" s="730"/>
      <c r="C67" s="310"/>
      <c r="D67" s="310" t="str">
        <f t="shared" si="8"/>
        <v/>
      </c>
      <c r="E67" s="311">
        <f t="shared" si="9"/>
        <v>0</v>
      </c>
      <c r="F67" s="312"/>
      <c r="G67" s="302"/>
      <c r="H67" s="400">
        <f>IF($C$4="No",0,IF('Project Information'!$C$15=0,0,(C67)*'Project Information'!$H$8))</f>
        <v>0</v>
      </c>
      <c r="J67" s="392"/>
      <c r="K67" s="393"/>
    </row>
    <row r="68" spans="1:11" ht="13.5" thickBot="1" x14ac:dyDescent="0.25">
      <c r="A68" s="314" t="s">
        <v>514</v>
      </c>
      <c r="B68" s="389"/>
      <c r="C68" s="316"/>
      <c r="D68" s="310" t="str">
        <f t="shared" si="8"/>
        <v/>
      </c>
      <c r="E68" s="311">
        <f t="shared" si="9"/>
        <v>0</v>
      </c>
      <c r="F68" s="312"/>
      <c r="G68" s="302"/>
      <c r="H68" s="309">
        <f>IF($C$4="No",0,IF('Project Information'!$C$15=0,0,(C68)*'Project Information'!$H$8))</f>
        <v>0</v>
      </c>
      <c r="J68" s="392"/>
      <c r="K68" s="393"/>
    </row>
    <row r="69" spans="1:11" ht="13.5" thickBot="1" x14ac:dyDescent="0.25">
      <c r="A69" s="731" t="s">
        <v>6</v>
      </c>
      <c r="B69" s="732"/>
      <c r="C69" s="317">
        <f>SUM(C56:C68)</f>
        <v>0</v>
      </c>
      <c r="D69" s="317">
        <f>SUM(D56:D68)</f>
        <v>0</v>
      </c>
      <c r="E69" s="318">
        <f>C69-D69</f>
        <v>0</v>
      </c>
      <c r="F69" s="312"/>
      <c r="G69" s="302"/>
      <c r="H69" s="309">
        <f t="shared" ref="H69" si="10">SUM(H56:H68)</f>
        <v>0</v>
      </c>
      <c r="J69" s="392"/>
      <c r="K69" s="393"/>
    </row>
    <row r="70" spans="1:11" x14ac:dyDescent="0.2">
      <c r="A70" s="327"/>
      <c r="B70" s="327"/>
      <c r="C70" s="328"/>
      <c r="D70" s="328"/>
      <c r="E70" s="312"/>
      <c r="F70" s="312"/>
      <c r="G70" s="302"/>
      <c r="H70" s="302"/>
      <c r="J70" s="392"/>
      <c r="K70" s="393"/>
    </row>
    <row r="71" spans="1:11" ht="13.5" thickBot="1" x14ac:dyDescent="0.25">
      <c r="A71" s="735" t="s">
        <v>21</v>
      </c>
      <c r="B71" s="735"/>
      <c r="E71" s="324"/>
      <c r="F71" s="312"/>
      <c r="G71" s="302"/>
      <c r="H71" s="302"/>
      <c r="J71" s="392"/>
      <c r="K71" s="393"/>
    </row>
    <row r="72" spans="1:11" x14ac:dyDescent="0.2">
      <c r="A72" s="729" t="s">
        <v>22</v>
      </c>
      <c r="B72" s="730"/>
      <c r="C72" s="310"/>
      <c r="D72" s="310" t="str">
        <f t="shared" ref="D72:D80" si="11">IF($C$4="Yes", IF(C72="", "", H72), "")</f>
        <v/>
      </c>
      <c r="E72" s="311">
        <f t="shared" ref="E72:E80" si="12">IF(D72="", C72, IFERROR(C72-D72, 0))</f>
        <v>0</v>
      </c>
      <c r="F72" s="312"/>
      <c r="G72" s="302"/>
      <c r="H72" s="313">
        <f>IF($C$4="No",0,IF('Project Information'!$C$15=0,0,(C72)*'Project Information'!$H$8))</f>
        <v>0</v>
      </c>
      <c r="J72" s="394">
        <f>C81</f>
        <v>0</v>
      </c>
      <c r="K72" s="393" t="s">
        <v>1099</v>
      </c>
    </row>
    <row r="73" spans="1:11" x14ac:dyDescent="0.2">
      <c r="A73" s="729" t="s">
        <v>478</v>
      </c>
      <c r="B73" s="730"/>
      <c r="C73" s="310"/>
      <c r="D73" s="310" t="str">
        <f t="shared" si="11"/>
        <v/>
      </c>
      <c r="E73" s="311">
        <f t="shared" si="12"/>
        <v>0</v>
      </c>
      <c r="F73" s="312"/>
      <c r="G73" s="302"/>
      <c r="H73" s="400">
        <f>IF($C$4="No",0,IF('Project Information'!$C$15=0,0,(C73)*'Project Information'!$H$8))</f>
        <v>0</v>
      </c>
      <c r="J73" s="392"/>
      <c r="K73" s="393"/>
    </row>
    <row r="74" spans="1:11" x14ac:dyDescent="0.2">
      <c r="A74" s="729" t="s">
        <v>15</v>
      </c>
      <c r="B74" s="730"/>
      <c r="C74" s="310"/>
      <c r="D74" s="310" t="str">
        <f t="shared" si="11"/>
        <v/>
      </c>
      <c r="E74" s="311">
        <f t="shared" si="12"/>
        <v>0</v>
      </c>
      <c r="F74" s="312"/>
      <c r="G74" s="302"/>
      <c r="H74" s="400">
        <f>IF($C$4="No",0,IF('Project Information'!$C$15=0,0,(C74)*'Project Information'!$H$8))</f>
        <v>0</v>
      </c>
      <c r="J74" s="392"/>
      <c r="K74" s="393"/>
    </row>
    <row r="75" spans="1:11" x14ac:dyDescent="0.2">
      <c r="A75" s="729" t="s">
        <v>16</v>
      </c>
      <c r="B75" s="730"/>
      <c r="C75" s="310"/>
      <c r="D75" s="310" t="str">
        <f t="shared" si="11"/>
        <v/>
      </c>
      <c r="E75" s="311">
        <f t="shared" si="12"/>
        <v>0</v>
      </c>
      <c r="F75" s="312"/>
      <c r="G75" s="302"/>
      <c r="H75" s="400">
        <f>IF($C$4="No",0,IF('Project Information'!$C$15=0,0,(C75)*'Project Information'!$H$8))</f>
        <v>0</v>
      </c>
      <c r="J75" s="392"/>
      <c r="K75" s="393"/>
    </row>
    <row r="76" spans="1:11" x14ac:dyDescent="0.2">
      <c r="A76" s="729" t="s">
        <v>1215</v>
      </c>
      <c r="B76" s="730"/>
      <c r="C76" s="310"/>
      <c r="D76" s="310" t="str">
        <f t="shared" si="11"/>
        <v/>
      </c>
      <c r="E76" s="311">
        <f t="shared" si="12"/>
        <v>0</v>
      </c>
      <c r="F76" s="312"/>
      <c r="G76" s="302"/>
      <c r="H76" s="400">
        <f>IF($C$4="No",0,IF('Project Information'!$C$15=0,0,(C76)*'Project Information'!$H$8))</f>
        <v>0</v>
      </c>
      <c r="J76" s="392"/>
      <c r="K76" s="393"/>
    </row>
    <row r="77" spans="1:11" x14ac:dyDescent="0.2">
      <c r="A77" s="729" t="s">
        <v>23</v>
      </c>
      <c r="B77" s="730"/>
      <c r="C77" s="310"/>
      <c r="D77" s="310" t="str">
        <f t="shared" si="11"/>
        <v/>
      </c>
      <c r="E77" s="311">
        <f t="shared" si="12"/>
        <v>0</v>
      </c>
      <c r="F77" s="312"/>
      <c r="G77" s="302"/>
      <c r="H77" s="400">
        <f>IF($C$4="No",0,IF('Project Information'!$C$15=0,0,(C77)*'Project Information'!$H$8))</f>
        <v>0</v>
      </c>
      <c r="J77" s="392"/>
      <c r="K77" s="393"/>
    </row>
    <row r="78" spans="1:11" x14ac:dyDescent="0.2">
      <c r="A78" s="729" t="s">
        <v>19</v>
      </c>
      <c r="B78" s="730"/>
      <c r="C78" s="310"/>
      <c r="D78" s="310" t="str">
        <f t="shared" si="11"/>
        <v/>
      </c>
      <c r="E78" s="311">
        <f t="shared" si="12"/>
        <v>0</v>
      </c>
      <c r="F78" s="312"/>
      <c r="G78" s="302"/>
      <c r="H78" s="400">
        <f>IF($C$4="No",0,IF('Project Information'!$C$15=0,0,(C78)*'Project Information'!$H$8))</f>
        <v>0</v>
      </c>
      <c r="J78" s="392"/>
      <c r="K78" s="393"/>
    </row>
    <row r="79" spans="1:11" x14ac:dyDescent="0.2">
      <c r="A79" s="729" t="s">
        <v>24</v>
      </c>
      <c r="B79" s="730"/>
      <c r="C79" s="310"/>
      <c r="D79" s="310" t="str">
        <f t="shared" si="11"/>
        <v/>
      </c>
      <c r="E79" s="311">
        <f t="shared" si="12"/>
        <v>0</v>
      </c>
      <c r="F79" s="312"/>
      <c r="G79" s="302"/>
      <c r="H79" s="400">
        <f>IF($C$4="No",0,IF('Project Information'!$C$15=0,0,(C79)*'Project Information'!$H$8))</f>
        <v>0</v>
      </c>
      <c r="J79" s="392"/>
      <c r="K79" s="393"/>
    </row>
    <row r="80" spans="1:11" ht="13.5" thickBot="1" x14ac:dyDescent="0.25">
      <c r="A80" s="314" t="s">
        <v>514</v>
      </c>
      <c r="B80" s="389"/>
      <c r="C80" s="316"/>
      <c r="D80" s="310" t="str">
        <f t="shared" si="11"/>
        <v/>
      </c>
      <c r="E80" s="311">
        <f t="shared" si="12"/>
        <v>0</v>
      </c>
      <c r="F80" s="312"/>
      <c r="G80" s="302"/>
      <c r="H80" s="309">
        <f>IF($C$4="No",0,IF('Project Information'!$C$15=0,0,(C80)*'Project Information'!$H$8))</f>
        <v>0</v>
      </c>
      <c r="J80" s="392"/>
      <c r="K80" s="393"/>
    </row>
    <row r="81" spans="1:11" ht="13.5" thickBot="1" x14ac:dyDescent="0.25">
      <c r="A81" s="731" t="s">
        <v>6</v>
      </c>
      <c r="B81" s="732"/>
      <c r="C81" s="317">
        <f>SUM(C72:C80)</f>
        <v>0</v>
      </c>
      <c r="D81" s="317">
        <f>SUM(D72:D80)</f>
        <v>0</v>
      </c>
      <c r="E81" s="318">
        <f>C81-D81</f>
        <v>0</v>
      </c>
      <c r="F81" s="312"/>
      <c r="G81" s="302"/>
      <c r="H81" s="309">
        <f>SUM(H72:H80)</f>
        <v>0</v>
      </c>
      <c r="J81" s="392"/>
      <c r="K81" s="393"/>
    </row>
    <row r="82" spans="1:11" x14ac:dyDescent="0.2">
      <c r="B82" s="305"/>
      <c r="E82" s="324"/>
      <c r="F82" s="312"/>
      <c r="G82" s="302"/>
      <c r="H82" s="302"/>
      <c r="J82" s="392"/>
      <c r="K82" s="393"/>
    </row>
    <row r="83" spans="1:11" ht="13.5" thickBot="1" x14ac:dyDescent="0.25">
      <c r="A83" s="735" t="s">
        <v>25</v>
      </c>
      <c r="B83" s="735"/>
      <c r="E83" s="324"/>
      <c r="F83" s="312"/>
      <c r="G83" s="302"/>
      <c r="H83" s="302"/>
      <c r="J83" s="392"/>
      <c r="K83" s="393"/>
    </row>
    <row r="84" spans="1:11" x14ac:dyDescent="0.2">
      <c r="A84" s="729" t="s">
        <v>474</v>
      </c>
      <c r="B84" s="730"/>
      <c r="C84" s="310"/>
      <c r="D84" s="310" t="str">
        <f t="shared" ref="D84:D93" si="13">IF($C$4="Yes", IF(C84="", "", H84), "")</f>
        <v/>
      </c>
      <c r="E84" s="311">
        <f t="shared" ref="E84:E93" si="14">IF(D84="", C84, IFERROR(C84-D84, 0))</f>
        <v>0</v>
      </c>
      <c r="F84" s="312"/>
      <c r="G84" s="302"/>
      <c r="H84" s="313">
        <f>IF($C$4="No",0,IF('Project Information'!$C$15=0,0,(C84)*'Project Information'!$H$8))</f>
        <v>0</v>
      </c>
      <c r="J84" s="392"/>
      <c r="K84" s="393"/>
    </row>
    <row r="85" spans="1:11" x14ac:dyDescent="0.2">
      <c r="A85" s="729" t="s">
        <v>26</v>
      </c>
      <c r="B85" s="730"/>
      <c r="C85" s="310"/>
      <c r="D85" s="310" t="str">
        <f t="shared" si="13"/>
        <v/>
      </c>
      <c r="E85" s="311">
        <f t="shared" si="14"/>
        <v>0</v>
      </c>
      <c r="F85" s="312"/>
      <c r="G85" s="302"/>
      <c r="H85" s="400">
        <f>IF($C$4="No",0,IF('Project Information'!$C$15=0,0,(C85)*'Project Information'!$H$8))</f>
        <v>0</v>
      </c>
      <c r="J85" s="394">
        <f>C94+C102</f>
        <v>0</v>
      </c>
      <c r="K85" s="393" t="s">
        <v>1101</v>
      </c>
    </row>
    <row r="86" spans="1:11" x14ac:dyDescent="0.2">
      <c r="A86" s="729" t="s">
        <v>27</v>
      </c>
      <c r="B86" s="730"/>
      <c r="C86" s="310"/>
      <c r="D86" s="310" t="str">
        <f t="shared" si="13"/>
        <v/>
      </c>
      <c r="E86" s="311">
        <f t="shared" si="14"/>
        <v>0</v>
      </c>
      <c r="F86" s="312"/>
      <c r="G86" s="302"/>
      <c r="H86" s="400">
        <f>IF($C$4="No",0,IF('Project Information'!$C$15=0,0,(C86)*'Project Information'!$H$8))</f>
        <v>0</v>
      </c>
      <c r="J86" s="392"/>
      <c r="K86" s="393"/>
    </row>
    <row r="87" spans="1:11" x14ac:dyDescent="0.2">
      <c r="A87" s="729" t="s">
        <v>28</v>
      </c>
      <c r="B87" s="730"/>
      <c r="C87" s="310"/>
      <c r="D87" s="310" t="str">
        <f t="shared" si="13"/>
        <v/>
      </c>
      <c r="E87" s="311">
        <f t="shared" si="14"/>
        <v>0</v>
      </c>
      <c r="F87" s="312"/>
      <c r="G87" s="302"/>
      <c r="H87" s="400">
        <f>IF($C$4="No",0,IF('Project Information'!$C$15=0,0,(C87)*'Project Information'!$H$8))</f>
        <v>0</v>
      </c>
      <c r="J87" s="392"/>
      <c r="K87" s="393"/>
    </row>
    <row r="88" spans="1:11" x14ac:dyDescent="0.2">
      <c r="A88" s="729" t="s">
        <v>29</v>
      </c>
      <c r="B88" s="730"/>
      <c r="C88" s="310"/>
      <c r="D88" s="310" t="str">
        <f t="shared" si="13"/>
        <v/>
      </c>
      <c r="E88" s="311">
        <f t="shared" si="14"/>
        <v>0</v>
      </c>
      <c r="F88" s="312"/>
      <c r="G88" s="302"/>
      <c r="H88" s="400">
        <f>IF($C$4="No",0,IF('Project Information'!$C$15=0,0,(C88)*'Project Information'!$H$8))</f>
        <v>0</v>
      </c>
      <c r="J88" s="392"/>
      <c r="K88" s="393"/>
    </row>
    <row r="89" spans="1:11" x14ac:dyDescent="0.2">
      <c r="A89" s="729" t="s">
        <v>30</v>
      </c>
      <c r="B89" s="730"/>
      <c r="C89" s="310"/>
      <c r="D89" s="310" t="str">
        <f t="shared" si="13"/>
        <v/>
      </c>
      <c r="E89" s="311">
        <f t="shared" si="14"/>
        <v>0</v>
      </c>
      <c r="F89" s="312"/>
      <c r="G89" s="302"/>
      <c r="H89" s="400">
        <f>IF($C$4="No",0,IF('Project Information'!$C$15=0,0,(C89)*'Project Information'!$H$8))</f>
        <v>0</v>
      </c>
      <c r="J89" s="392"/>
      <c r="K89" s="393"/>
    </row>
    <row r="90" spans="1:11" x14ac:dyDescent="0.2">
      <c r="A90" s="729" t="s">
        <v>62</v>
      </c>
      <c r="B90" s="730"/>
      <c r="C90" s="310"/>
      <c r="D90" s="310" t="str">
        <f t="shared" si="13"/>
        <v/>
      </c>
      <c r="E90" s="311">
        <f t="shared" si="14"/>
        <v>0</v>
      </c>
      <c r="F90" s="312"/>
      <c r="G90" s="302"/>
      <c r="H90" s="400">
        <f>IF($C$4="No",0,IF('Project Information'!$C$15=0,0,(C90)*'Project Information'!$H$8))</f>
        <v>0</v>
      </c>
      <c r="J90" s="392"/>
      <c r="K90" s="393"/>
    </row>
    <row r="91" spans="1:11" x14ac:dyDescent="0.2">
      <c r="A91" s="729" t="s">
        <v>5</v>
      </c>
      <c r="B91" s="730"/>
      <c r="C91" s="310"/>
      <c r="D91" s="310" t="str">
        <f t="shared" si="13"/>
        <v/>
      </c>
      <c r="E91" s="311">
        <f t="shared" si="14"/>
        <v>0</v>
      </c>
      <c r="F91" s="312"/>
      <c r="G91" s="302"/>
      <c r="H91" s="400">
        <f>IF($C$4="No",0,IF('Project Information'!$C$15=0,0,(C91)*'Project Information'!$H$8))</f>
        <v>0</v>
      </c>
      <c r="J91" s="392"/>
      <c r="K91" s="393"/>
    </row>
    <row r="92" spans="1:11" x14ac:dyDescent="0.2">
      <c r="A92" s="729" t="s">
        <v>1216</v>
      </c>
      <c r="B92" s="749"/>
      <c r="C92" s="310"/>
      <c r="D92" s="310" t="str">
        <f t="shared" si="13"/>
        <v/>
      </c>
      <c r="E92" s="311">
        <f t="shared" si="14"/>
        <v>0</v>
      </c>
      <c r="F92" s="312"/>
      <c r="G92" s="302"/>
      <c r="H92" s="400">
        <f>IF($C$4="No",0,IF('Project Information'!$C$15=0,0,(C92)*'Project Information'!$H$8))</f>
        <v>0</v>
      </c>
      <c r="J92" s="392"/>
      <c r="K92" s="393"/>
    </row>
    <row r="93" spans="1:11" ht="13.5" thickBot="1" x14ac:dyDescent="0.25">
      <c r="A93" s="314" t="s">
        <v>514</v>
      </c>
      <c r="B93" s="389"/>
      <c r="C93" s="316"/>
      <c r="D93" s="310" t="str">
        <f t="shared" si="13"/>
        <v/>
      </c>
      <c r="E93" s="311">
        <f t="shared" si="14"/>
        <v>0</v>
      </c>
      <c r="F93" s="312"/>
      <c r="G93" s="302"/>
      <c r="H93" s="309">
        <f>IF($C$4="No",0,IF('Project Information'!$C$15=0,0,(C93)*'Project Information'!$H$8))</f>
        <v>0</v>
      </c>
      <c r="J93" s="392"/>
      <c r="K93" s="393"/>
    </row>
    <row r="94" spans="1:11" ht="13.5" thickBot="1" x14ac:dyDescent="0.25">
      <c r="A94" s="731" t="s">
        <v>6</v>
      </c>
      <c r="B94" s="732"/>
      <c r="C94" s="317">
        <f>SUM(C84:C93)</f>
        <v>0</v>
      </c>
      <c r="D94" s="317">
        <f>SUM(D84:D93)</f>
        <v>0</v>
      </c>
      <c r="E94" s="318">
        <f>C94-D94</f>
        <v>0</v>
      </c>
      <c r="F94" s="312"/>
      <c r="G94" s="302"/>
      <c r="H94" s="309">
        <f>SUM(H84:H93)</f>
        <v>0</v>
      </c>
      <c r="J94" s="392"/>
      <c r="K94" s="393"/>
    </row>
    <row r="95" spans="1:11" x14ac:dyDescent="0.2">
      <c r="B95" s="305"/>
      <c r="C95" s="329"/>
      <c r="D95" s="329"/>
      <c r="E95" s="324"/>
      <c r="F95" s="312"/>
      <c r="G95" s="302"/>
      <c r="H95" s="302"/>
      <c r="J95" s="392"/>
      <c r="K95" s="393"/>
    </row>
    <row r="96" spans="1:11" ht="13.5" thickBot="1" x14ac:dyDescent="0.25">
      <c r="A96" s="735" t="s">
        <v>31</v>
      </c>
      <c r="B96" s="735"/>
      <c r="E96" s="324"/>
      <c r="F96" s="312"/>
      <c r="G96" s="302"/>
      <c r="H96" s="302"/>
      <c r="J96" s="392"/>
      <c r="K96" s="393"/>
    </row>
    <row r="97" spans="1:11" x14ac:dyDescent="0.2">
      <c r="A97" s="729" t="s">
        <v>32</v>
      </c>
      <c r="B97" s="730"/>
      <c r="C97" s="310"/>
      <c r="D97" s="310" t="str">
        <f t="shared" ref="D97:D101" si="15">IF($C$4="Yes", IF(C97="", "", H97), "")</f>
        <v/>
      </c>
      <c r="E97" s="311">
        <f t="shared" ref="E97:E101" si="16">IF(D97="", C97, IFERROR(C97-D97, 0))</f>
        <v>0</v>
      </c>
      <c r="F97" s="312"/>
      <c r="G97" s="302"/>
      <c r="H97" s="313">
        <f>IF($C$4="No",0,IF('Project Information'!$C$15=0,0,(C97)*'Project Information'!$H$8))</f>
        <v>0</v>
      </c>
      <c r="J97" s="392"/>
      <c r="K97" s="393"/>
    </row>
    <row r="98" spans="1:11" x14ac:dyDescent="0.2">
      <c r="A98" s="729" t="s">
        <v>33</v>
      </c>
      <c r="B98" s="730"/>
      <c r="C98" s="310"/>
      <c r="D98" s="310" t="str">
        <f t="shared" si="15"/>
        <v/>
      </c>
      <c r="E98" s="311">
        <f t="shared" si="16"/>
        <v>0</v>
      </c>
      <c r="F98" s="312"/>
      <c r="G98" s="302"/>
      <c r="H98" s="400">
        <f>IF($C$4="No",0,IF('Project Information'!$C$15=0,0,(C98)*'Project Information'!$H$8))</f>
        <v>0</v>
      </c>
      <c r="J98" s="392"/>
      <c r="K98" s="393"/>
    </row>
    <row r="99" spans="1:11" x14ac:dyDescent="0.2">
      <c r="A99" s="729" t="s">
        <v>20</v>
      </c>
      <c r="B99" s="730"/>
      <c r="C99" s="310"/>
      <c r="D99" s="310" t="str">
        <f t="shared" si="15"/>
        <v/>
      </c>
      <c r="E99" s="311">
        <f t="shared" si="16"/>
        <v>0</v>
      </c>
      <c r="F99" s="312"/>
      <c r="G99" s="302"/>
      <c r="H99" s="400">
        <f>IF($C$4="No",0,IF('Project Information'!$C$15=0,0,(C99)*'Project Information'!$H$8))</f>
        <v>0</v>
      </c>
      <c r="J99" s="392"/>
      <c r="K99" s="393"/>
    </row>
    <row r="100" spans="1:11" x14ac:dyDescent="0.2">
      <c r="A100" s="729" t="s">
        <v>34</v>
      </c>
      <c r="B100" s="730"/>
      <c r="C100" s="310"/>
      <c r="D100" s="310" t="str">
        <f t="shared" si="15"/>
        <v/>
      </c>
      <c r="E100" s="311">
        <f t="shared" si="16"/>
        <v>0</v>
      </c>
      <c r="F100" s="312"/>
      <c r="G100" s="302"/>
      <c r="H100" s="400">
        <f>IF($C$4="No",0,IF('Project Information'!$C$15=0,0,(C100)*'Project Information'!$H$8))</f>
        <v>0</v>
      </c>
      <c r="J100" s="392"/>
      <c r="K100" s="393"/>
    </row>
    <row r="101" spans="1:11" ht="13.5" thickBot="1" x14ac:dyDescent="0.25">
      <c r="A101" s="314" t="s">
        <v>514</v>
      </c>
      <c r="B101" s="315"/>
      <c r="C101" s="316"/>
      <c r="D101" s="310" t="str">
        <f t="shared" si="15"/>
        <v/>
      </c>
      <c r="E101" s="311">
        <f t="shared" si="16"/>
        <v>0</v>
      </c>
      <c r="F101" s="312"/>
      <c r="G101" s="302"/>
      <c r="H101" s="309">
        <f>IF($C$4="No",0,IF('Project Information'!$C$15=0,0,(C101)*'Project Information'!$H$8))</f>
        <v>0</v>
      </c>
      <c r="J101" s="392"/>
      <c r="K101" s="393"/>
    </row>
    <row r="102" spans="1:11" ht="13.5" thickBot="1" x14ac:dyDescent="0.25">
      <c r="A102" s="731" t="s">
        <v>6</v>
      </c>
      <c r="B102" s="732"/>
      <c r="C102" s="317">
        <f>SUM(C97:C101)</f>
        <v>0</v>
      </c>
      <c r="D102" s="317">
        <f>SUM(D97:D101)</f>
        <v>0</v>
      </c>
      <c r="E102" s="318">
        <f>C102-D102</f>
        <v>0</v>
      </c>
      <c r="F102" s="312"/>
      <c r="G102" s="302"/>
      <c r="H102" s="319">
        <f>SUM(H97:H101)</f>
        <v>0</v>
      </c>
      <c r="J102" s="392"/>
      <c r="K102" s="393"/>
    </row>
    <row r="103" spans="1:11" x14ac:dyDescent="0.2">
      <c r="B103" s="305"/>
      <c r="E103" s="324"/>
      <c r="F103" s="312"/>
      <c r="G103" s="302"/>
      <c r="H103" s="302"/>
      <c r="J103" s="392"/>
      <c r="K103" s="393"/>
    </row>
    <row r="104" spans="1:11" ht="13.5" thickBot="1" x14ac:dyDescent="0.25">
      <c r="A104" s="735" t="s">
        <v>35</v>
      </c>
      <c r="B104" s="735"/>
      <c r="E104" s="324"/>
      <c r="F104" s="312"/>
      <c r="G104" s="302"/>
      <c r="H104" s="302"/>
      <c r="J104" s="392"/>
      <c r="K104" s="393"/>
    </row>
    <row r="105" spans="1:11" x14ac:dyDescent="0.2">
      <c r="A105" s="729" t="s">
        <v>35</v>
      </c>
      <c r="B105" s="730"/>
      <c r="C105" s="310"/>
      <c r="D105" s="310" t="str">
        <f t="shared" ref="D105:D107" si="17">IF($C$4="Yes", IF(C105="", "", H105), "")</f>
        <v/>
      </c>
      <c r="E105" s="311">
        <f t="shared" ref="E105:E107" si="18">IF(D105="", C105, IFERROR(C105-D105, 0))</f>
        <v>0</v>
      </c>
      <c r="F105" s="312"/>
      <c r="G105" s="302"/>
      <c r="H105" s="313">
        <f>IF($C$4="No",0,IF('Project Information'!$C$15=0,0,(C105)*'Project Information'!$H$8))</f>
        <v>0</v>
      </c>
      <c r="J105" s="392"/>
      <c r="K105" s="393"/>
    </row>
    <row r="106" spans="1:11" x14ac:dyDescent="0.2">
      <c r="A106" s="330" t="s">
        <v>571</v>
      </c>
      <c r="B106" s="331"/>
      <c r="C106" s="310"/>
      <c r="D106" s="310" t="str">
        <f t="shared" si="17"/>
        <v/>
      </c>
      <c r="E106" s="311">
        <f t="shared" si="18"/>
        <v>0</v>
      </c>
      <c r="F106" s="312"/>
      <c r="G106" s="302"/>
      <c r="H106" s="400">
        <f>IF($C$4="No",0,IF('Project Information'!$C$15=0,0,(C106)*'Project Information'!$H$8))</f>
        <v>0</v>
      </c>
      <c r="J106" s="392"/>
      <c r="K106" s="393"/>
    </row>
    <row r="107" spans="1:11" ht="13.5" thickBot="1" x14ac:dyDescent="0.25">
      <c r="A107" s="314" t="s">
        <v>514</v>
      </c>
      <c r="B107" s="315"/>
      <c r="C107" s="310"/>
      <c r="D107" s="310" t="str">
        <f t="shared" si="17"/>
        <v/>
      </c>
      <c r="E107" s="311">
        <f t="shared" si="18"/>
        <v>0</v>
      </c>
      <c r="F107" s="312"/>
      <c r="G107" s="302"/>
      <c r="H107" s="309">
        <f>IF($C$4="No",0,IF('Project Information'!$C$15=0,0,(C107)*'Project Information'!$H$8))</f>
        <v>0</v>
      </c>
      <c r="J107" s="392"/>
      <c r="K107" s="393"/>
    </row>
    <row r="108" spans="1:11" ht="13.5" thickBot="1" x14ac:dyDescent="0.25">
      <c r="A108" s="731" t="s">
        <v>6</v>
      </c>
      <c r="B108" s="732"/>
      <c r="C108" s="317">
        <f>SUM(C105:C107)</f>
        <v>0</v>
      </c>
      <c r="D108" s="317">
        <f>SUM(D105:D107)</f>
        <v>0</v>
      </c>
      <c r="E108" s="318">
        <f>C108-D108</f>
        <v>0</v>
      </c>
      <c r="F108" s="312"/>
      <c r="G108" s="302"/>
      <c r="H108" s="319">
        <f t="shared" ref="H108" si="19">SUM(H105:H107)</f>
        <v>0</v>
      </c>
      <c r="J108" s="394" t="e">
        <f>(C108+C48)/(C119-(C108+C48+C8+C117))</f>
        <v>#DIV/0!</v>
      </c>
      <c r="K108" s="393" t="s">
        <v>1122</v>
      </c>
    </row>
    <row r="109" spans="1:11" x14ac:dyDescent="0.2">
      <c r="B109" s="305"/>
      <c r="E109" s="324"/>
      <c r="F109" s="312"/>
      <c r="G109" s="302"/>
      <c r="H109" s="302"/>
      <c r="J109" s="394">
        <f>C108+C48</f>
        <v>0</v>
      </c>
      <c r="K109" s="393" t="s">
        <v>1123</v>
      </c>
    </row>
    <row r="110" spans="1:11" ht="13.5" thickBot="1" x14ac:dyDescent="0.25">
      <c r="A110" s="735" t="s">
        <v>36</v>
      </c>
      <c r="B110" s="735"/>
      <c r="E110" s="324"/>
      <c r="F110" s="312"/>
      <c r="G110" s="302"/>
      <c r="H110" s="302"/>
      <c r="J110" s="392"/>
      <c r="K110" s="393"/>
    </row>
    <row r="111" spans="1:11" ht="12.75" customHeight="1" x14ac:dyDescent="0.2">
      <c r="A111" s="729" t="s">
        <v>1217</v>
      </c>
      <c r="B111" s="730"/>
      <c r="C111" s="310"/>
      <c r="D111" s="310" t="str">
        <f t="shared" ref="D111:D116" si="20">IF($C$4="Yes", IF(C111="", "", H111), "")</f>
        <v/>
      </c>
      <c r="E111" s="311">
        <f t="shared" ref="E111:E116" si="21">IF(D111="", C111, IFERROR(C111-D111, 0))</f>
        <v>0</v>
      </c>
      <c r="F111" s="312"/>
      <c r="G111" s="302"/>
      <c r="H111" s="313">
        <f>IF($C$4="No",0,IF('Project Information'!$C$15=0,0,(C111)*'Project Information'!$H$8))</f>
        <v>0</v>
      </c>
      <c r="J111" s="392"/>
      <c r="K111" s="393"/>
    </row>
    <row r="112" spans="1:11" x14ac:dyDescent="0.2">
      <c r="A112" s="729" t="s">
        <v>37</v>
      </c>
      <c r="B112" s="730"/>
      <c r="C112" s="310"/>
      <c r="D112" s="310" t="str">
        <f t="shared" si="20"/>
        <v/>
      </c>
      <c r="E112" s="311">
        <f t="shared" si="21"/>
        <v>0</v>
      </c>
      <c r="F112" s="312"/>
      <c r="G112" s="302"/>
      <c r="H112" s="400">
        <f>IF($C$4="No",0,IF('Project Information'!$C$15=0,0,(C112)*'Project Information'!$H$8))</f>
        <v>0</v>
      </c>
      <c r="J112" s="392"/>
      <c r="K112" s="393"/>
    </row>
    <row r="113" spans="1:11" x14ac:dyDescent="0.2">
      <c r="A113" s="729" t="s">
        <v>38</v>
      </c>
      <c r="B113" s="730"/>
      <c r="C113" s="310"/>
      <c r="D113" s="310" t="str">
        <f t="shared" si="20"/>
        <v/>
      </c>
      <c r="E113" s="311">
        <f t="shared" si="21"/>
        <v>0</v>
      </c>
      <c r="F113" s="312"/>
      <c r="G113" s="302"/>
      <c r="H113" s="400">
        <f>IF($C$4="No",0,IF('Project Information'!$C$15=0,0,(C113)*'Project Information'!$H$8))</f>
        <v>0</v>
      </c>
      <c r="J113" s="392"/>
      <c r="K113" s="393"/>
    </row>
    <row r="114" spans="1:11" x14ac:dyDescent="0.2">
      <c r="A114" s="736" t="s">
        <v>39</v>
      </c>
      <c r="B114" s="730"/>
      <c r="C114" s="310"/>
      <c r="D114" s="310" t="str">
        <f t="shared" si="20"/>
        <v/>
      </c>
      <c r="E114" s="311">
        <f t="shared" si="21"/>
        <v>0</v>
      </c>
      <c r="F114" s="312"/>
      <c r="G114" s="302"/>
      <c r="H114" s="400">
        <f>IF($C$4="No",0,IF('Project Information'!$C$15=0,0,(C114)*'Project Information'!$H$8))</f>
        <v>0</v>
      </c>
      <c r="J114" s="392"/>
      <c r="K114" s="393"/>
    </row>
    <row r="115" spans="1:11" x14ac:dyDescent="0.2">
      <c r="A115" s="727" t="s">
        <v>1494</v>
      </c>
      <c r="B115" s="728"/>
      <c r="C115" s="310"/>
      <c r="D115" s="310" t="str">
        <f t="shared" si="20"/>
        <v/>
      </c>
      <c r="E115" s="311">
        <f t="shared" si="21"/>
        <v>0</v>
      </c>
      <c r="F115" s="312"/>
      <c r="G115" s="302"/>
      <c r="H115" s="400">
        <f>IF($C$4="No",0,IF('Project Information'!$C$15=0,0,(C115)*'Project Information'!$H$8))</f>
        <v>0</v>
      </c>
      <c r="J115" s="392"/>
      <c r="K115" s="393"/>
    </row>
    <row r="116" spans="1:11" ht="13.5" thickBot="1" x14ac:dyDescent="0.25">
      <c r="A116" s="488" t="s">
        <v>514</v>
      </c>
      <c r="B116" s="389"/>
      <c r="C116" s="310"/>
      <c r="D116" s="310" t="str">
        <f t="shared" si="20"/>
        <v/>
      </c>
      <c r="E116" s="311">
        <f t="shared" si="21"/>
        <v>0</v>
      </c>
      <c r="F116" s="312"/>
      <c r="G116" s="302"/>
      <c r="H116" s="309">
        <f>IF($C$4="No",0,IF('Project Information'!$C$15=0,0,(C116)*'Project Information'!$H$8))</f>
        <v>0</v>
      </c>
      <c r="J116" s="392"/>
      <c r="K116" s="393"/>
    </row>
    <row r="117" spans="1:11" ht="13.5" thickBot="1" x14ac:dyDescent="0.25">
      <c r="A117" s="731" t="s">
        <v>6</v>
      </c>
      <c r="B117" s="732"/>
      <c r="C117" s="317">
        <f>SUM(C111:C116)</f>
        <v>0</v>
      </c>
      <c r="D117" s="317">
        <f>SUM(D111:D116)</f>
        <v>0</v>
      </c>
      <c r="E117" s="318">
        <f>C117-D117</f>
        <v>0</v>
      </c>
      <c r="F117" s="312"/>
      <c r="G117" s="302"/>
      <c r="H117" s="319">
        <f>SUM(H111:H116)</f>
        <v>0</v>
      </c>
      <c r="J117" s="392"/>
      <c r="K117" s="393"/>
    </row>
    <row r="118" spans="1:11" ht="13.5" thickBot="1" x14ac:dyDescent="0.25">
      <c r="D118" s="332"/>
      <c r="E118" s="324"/>
      <c r="F118" s="312"/>
      <c r="G118" s="302"/>
      <c r="H118" s="302"/>
      <c r="J118" s="392"/>
      <c r="K118" s="393"/>
    </row>
    <row r="119" spans="1:11" ht="13.5" thickBot="1" x14ac:dyDescent="0.25">
      <c r="A119" s="333" t="s">
        <v>518</v>
      </c>
      <c r="B119" s="334"/>
      <c r="C119" s="335">
        <f>ROUND(SUM(C117+C108+C102+C94+C81+C69+C53+C42+C27+C14),0)</f>
        <v>0</v>
      </c>
      <c r="D119" s="336"/>
      <c r="E119" s="339"/>
      <c r="F119" s="312"/>
      <c r="G119" s="302"/>
      <c r="H119" s="319">
        <f>H14+H27+H42+H53+H69+H94+H108+H81+H102+H117</f>
        <v>0</v>
      </c>
      <c r="J119" s="392"/>
      <c r="K119" s="393"/>
    </row>
    <row r="120" spans="1:11" ht="13.5" thickBot="1" x14ac:dyDescent="0.25">
      <c r="A120" s="337"/>
      <c r="B120" s="338"/>
      <c r="C120" s="328"/>
      <c r="D120" s="328"/>
      <c r="E120" s="328"/>
      <c r="F120" s="328"/>
      <c r="G120" s="302"/>
      <c r="H120" s="302"/>
      <c r="J120" s="392"/>
      <c r="K120" s="393"/>
    </row>
    <row r="121" spans="1:11" ht="13.5" thickBot="1" x14ac:dyDescent="0.25">
      <c r="A121" s="333" t="s">
        <v>517</v>
      </c>
      <c r="B121" s="334"/>
      <c r="C121" s="339"/>
      <c r="D121" s="335">
        <f>ROUND(SUM(D117+D108+D102+D94+D81+D69+D53+D42+D27+D14),0)</f>
        <v>0</v>
      </c>
      <c r="E121" s="339"/>
      <c r="F121" s="308"/>
      <c r="G121" s="302"/>
      <c r="H121" s="302"/>
      <c r="J121" s="394">
        <f>C119-C8-C108-C117-D121</f>
        <v>0</v>
      </c>
      <c r="K121" s="393" t="s">
        <v>1220</v>
      </c>
    </row>
    <row r="122" spans="1:11" ht="13.5" thickBot="1" x14ac:dyDescent="0.25">
      <c r="A122" s="340"/>
      <c r="B122" s="341"/>
      <c r="E122" s="302"/>
      <c r="F122" s="308"/>
      <c r="G122" s="302"/>
      <c r="H122" s="302"/>
      <c r="J122" s="392"/>
      <c r="K122" s="393"/>
    </row>
    <row r="123" spans="1:11" ht="13.5" thickBot="1" x14ac:dyDescent="0.25">
      <c r="A123" s="731" t="s">
        <v>531</v>
      </c>
      <c r="B123" s="748"/>
      <c r="C123" s="339"/>
      <c r="D123" s="339"/>
      <c r="E123" s="335">
        <f>C119-D121</f>
        <v>0</v>
      </c>
      <c r="F123" s="308"/>
      <c r="G123" s="302"/>
      <c r="H123" s="302"/>
      <c r="J123" s="402" t="e">
        <f>C119/'Project Information'!F15</f>
        <v>#DIV/0!</v>
      </c>
      <c r="K123" s="397" t="s">
        <v>1339</v>
      </c>
    </row>
    <row r="124" spans="1:11" ht="13.5" thickBot="1" x14ac:dyDescent="0.25">
      <c r="A124" s="340"/>
      <c r="B124" s="342"/>
      <c r="J124" s="398" t="e">
        <f>C119/'Project Information'!C15</f>
        <v>#DIV/0!</v>
      </c>
      <c r="K124" s="399" t="s">
        <v>1340</v>
      </c>
    </row>
    <row r="125" spans="1:11" x14ac:dyDescent="0.2">
      <c r="A125" s="340"/>
      <c r="B125" s="342"/>
    </row>
    <row r="126" spans="1:11" ht="13.5" thickBot="1" x14ac:dyDescent="0.25">
      <c r="A126" s="344" t="s">
        <v>1267</v>
      </c>
      <c r="B126" s="344"/>
      <c r="C126" s="344"/>
      <c r="D126" s="344"/>
      <c r="E126" s="345"/>
      <c r="F126" s="344"/>
      <c r="G126" s="344"/>
    </row>
    <row r="127" spans="1:11" x14ac:dyDescent="0.2">
      <c r="A127" s="739"/>
      <c r="B127" s="740"/>
      <c r="C127" s="740"/>
      <c r="D127" s="740"/>
      <c r="E127" s="740"/>
      <c r="F127" s="741"/>
      <c r="G127" s="302"/>
      <c r="H127" s="303"/>
    </row>
    <row r="128" spans="1:11" x14ac:dyDescent="0.2">
      <c r="A128" s="742"/>
      <c r="B128" s="743"/>
      <c r="C128" s="743"/>
      <c r="D128" s="743"/>
      <c r="E128" s="743"/>
      <c r="F128" s="744"/>
      <c r="G128" s="302"/>
      <c r="H128" s="303"/>
    </row>
    <row r="129" spans="1:8" x14ac:dyDescent="0.2">
      <c r="A129" s="742"/>
      <c r="B129" s="743"/>
      <c r="C129" s="743"/>
      <c r="D129" s="743"/>
      <c r="E129" s="743"/>
      <c r="F129" s="744"/>
      <c r="G129" s="302"/>
      <c r="H129" s="303"/>
    </row>
    <row r="130" spans="1:8" x14ac:dyDescent="0.2">
      <c r="A130" s="742"/>
      <c r="B130" s="743"/>
      <c r="C130" s="743"/>
      <c r="D130" s="743"/>
      <c r="E130" s="743"/>
      <c r="F130" s="744"/>
      <c r="G130" s="302"/>
      <c r="H130" s="303"/>
    </row>
    <row r="131" spans="1:8" ht="13.5" thickBot="1" x14ac:dyDescent="0.25">
      <c r="A131" s="745"/>
      <c r="B131" s="746"/>
      <c r="C131" s="746"/>
      <c r="D131" s="746"/>
      <c r="E131" s="746"/>
      <c r="F131" s="747"/>
      <c r="G131" s="302"/>
      <c r="H131" s="303"/>
    </row>
    <row r="132" spans="1:8" x14ac:dyDescent="0.2">
      <c r="A132" s="346"/>
    </row>
    <row r="133" spans="1:8" x14ac:dyDescent="0.2">
      <c r="A133" s="346"/>
    </row>
    <row r="134" spans="1:8" x14ac:dyDescent="0.2">
      <c r="A134" s="347" t="str">
        <f>IF('Project Information'!B8="","",'Project Information'!B8)</f>
        <v/>
      </c>
    </row>
  </sheetData>
  <sheetProtection algorithmName="SHA-512" hashValue="C2OnpMD8OfoMXxfaIAYkl+JaVD1Tqd1D14CxSB8l6OEzejaTYeW0hOC8ip2yTPKRDDfUXB6eGkBMQ695DdqmJg==" saltValue="FPQQ6w2z3h1hxNWDr0As2w=="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97">
    <mergeCell ref="J6:K6"/>
    <mergeCell ref="A113:B113"/>
    <mergeCell ref="A112:B112"/>
    <mergeCell ref="A111:B111"/>
    <mergeCell ref="A108:B108"/>
    <mergeCell ref="A105:B105"/>
    <mergeCell ref="A97:B97"/>
    <mergeCell ref="A79:B79"/>
    <mergeCell ref="A78:B78"/>
    <mergeCell ref="A77:B77"/>
    <mergeCell ref="A100:B100"/>
    <mergeCell ref="A102:B102"/>
    <mergeCell ref="A8:B8"/>
    <mergeCell ref="A18:B18"/>
    <mergeCell ref="A17:B17"/>
    <mergeCell ref="A51:B51"/>
    <mergeCell ref="A23:B23"/>
    <mergeCell ref="A33:B33"/>
    <mergeCell ref="A46:B46"/>
    <mergeCell ref="A64:B64"/>
    <mergeCell ref="A63:B63"/>
    <mergeCell ref="A57:B57"/>
    <mergeCell ref="A56:B56"/>
    <mergeCell ref="A88:B88"/>
    <mergeCell ref="A85:B85"/>
    <mergeCell ref="A76:B76"/>
    <mergeCell ref="A7:B7"/>
    <mergeCell ref="A16:B16"/>
    <mergeCell ref="A29:B29"/>
    <mergeCell ref="A44:B44"/>
    <mergeCell ref="A55:B55"/>
    <mergeCell ref="A20:B20"/>
    <mergeCell ref="A19:B19"/>
    <mergeCell ref="A21:B21"/>
    <mergeCell ref="A22:B22"/>
    <mergeCell ref="A38:B38"/>
    <mergeCell ref="A37:B37"/>
    <mergeCell ref="A28:E28"/>
    <mergeCell ref="A31:B31"/>
    <mergeCell ref="A84:B84"/>
    <mergeCell ref="A81:B81"/>
    <mergeCell ref="A66:B66"/>
    <mergeCell ref="A75:B75"/>
    <mergeCell ref="A69:B69"/>
    <mergeCell ref="A74:B74"/>
    <mergeCell ref="A73:B73"/>
    <mergeCell ref="A72:B72"/>
    <mergeCell ref="A67:B67"/>
    <mergeCell ref="A71:B71"/>
    <mergeCell ref="A127:F131"/>
    <mergeCell ref="A9:B9"/>
    <mergeCell ref="A110:B110"/>
    <mergeCell ref="A32:B32"/>
    <mergeCell ref="A25:B25"/>
    <mergeCell ref="A24:B24"/>
    <mergeCell ref="A36:B36"/>
    <mergeCell ref="A35:B35"/>
    <mergeCell ref="A86:B86"/>
    <mergeCell ref="A94:B94"/>
    <mergeCell ref="A87:B87"/>
    <mergeCell ref="A90:B90"/>
    <mergeCell ref="A91:B91"/>
    <mergeCell ref="A123:B123"/>
    <mergeCell ref="A92:B92"/>
    <mergeCell ref="A89:B89"/>
    <mergeCell ref="A117:B117"/>
    <mergeCell ref="A114:B114"/>
    <mergeCell ref="A12:B12"/>
    <mergeCell ref="A11:B11"/>
    <mergeCell ref="A10:B10"/>
    <mergeCell ref="A65:B65"/>
    <mergeCell ref="A27:B27"/>
    <mergeCell ref="A30:B30"/>
    <mergeCell ref="A42:B42"/>
    <mergeCell ref="A50:B50"/>
    <mergeCell ref="A49:B49"/>
    <mergeCell ref="A39:B39"/>
    <mergeCell ref="A34:B34"/>
    <mergeCell ref="A62:B62"/>
    <mergeCell ref="A61:B61"/>
    <mergeCell ref="A14:B14"/>
    <mergeCell ref="A1:G1"/>
    <mergeCell ref="A2:G2"/>
    <mergeCell ref="A115:B115"/>
    <mergeCell ref="A99:B99"/>
    <mergeCell ref="A98:B98"/>
    <mergeCell ref="A48:B48"/>
    <mergeCell ref="A47:B47"/>
    <mergeCell ref="A45:B45"/>
    <mergeCell ref="A53:B53"/>
    <mergeCell ref="A58:B58"/>
    <mergeCell ref="A60:B60"/>
    <mergeCell ref="A59:B59"/>
    <mergeCell ref="A4:B4"/>
    <mergeCell ref="A83:B83"/>
    <mergeCell ref="A96:B96"/>
    <mergeCell ref="A104:B104"/>
  </mergeCells>
  <phoneticPr fontId="13" type="noConversion"/>
  <conditionalFormatting sqref="B13">
    <cfRule type="expression" dxfId="96" priority="8">
      <formula>AND(C13&gt;0,B13="")</formula>
    </cfRule>
  </conditionalFormatting>
  <conditionalFormatting sqref="B26">
    <cfRule type="expression" dxfId="95" priority="7">
      <formula>AND(C26&gt;0,B26="")</formula>
    </cfRule>
  </conditionalFormatting>
  <conditionalFormatting sqref="B40:B41">
    <cfRule type="expression" dxfId="94" priority="4">
      <formula>AND(C40&gt;0,B40="")</formula>
    </cfRule>
  </conditionalFormatting>
  <conditionalFormatting sqref="B52">
    <cfRule type="expression" dxfId="93" priority="18">
      <formula>AND(C52&gt;0,B52="")</formula>
    </cfRule>
  </conditionalFormatting>
  <conditionalFormatting sqref="B68">
    <cfRule type="expression" dxfId="92" priority="17">
      <formula>AND(C68&gt;0,B68="")</formula>
    </cfRule>
  </conditionalFormatting>
  <conditionalFormatting sqref="B80">
    <cfRule type="expression" dxfId="91" priority="16">
      <formula>AND(C80&gt;0,B80="")</formula>
    </cfRule>
  </conditionalFormatting>
  <conditionalFormatting sqref="B93">
    <cfRule type="expression" dxfId="90" priority="15">
      <formula>AND(C93&gt;0,B93="")</formula>
    </cfRule>
  </conditionalFormatting>
  <conditionalFormatting sqref="B101">
    <cfRule type="expression" dxfId="89" priority="14">
      <formula>AND(C101&gt;0,B101="")</formula>
    </cfRule>
  </conditionalFormatting>
  <conditionalFormatting sqref="B107">
    <cfRule type="expression" dxfId="88" priority="13">
      <formula>AND(C107&gt;0,B107="")</formula>
    </cfRule>
  </conditionalFormatting>
  <conditionalFormatting sqref="B116">
    <cfRule type="expression" dxfId="87" priority="3">
      <formula>AND(C116&gt;0,B116="")</formula>
    </cfRule>
  </conditionalFormatting>
  <conditionalFormatting sqref="C27:D27">
    <cfRule type="expression" dxfId="86" priority="9">
      <formula>AND(A134="New Construction",C27=0)</formula>
    </cfRule>
  </conditionalFormatting>
  <conditionalFormatting sqref="D8:D13 D17:D26 D30:D41 D45:D52 D56:D68 D72:D80 D84:D93 D97:D101 D105:D107 D111:D116">
    <cfRule type="expression" dxfId="85" priority="23">
      <formula>OR($C$4="No", $C$4="")</formula>
    </cfRule>
  </conditionalFormatting>
  <conditionalFormatting sqref="E6:E27 E29:E118">
    <cfRule type="expression" dxfId="84" priority="234">
      <formula>#REF!="Other"</formula>
    </cfRule>
  </conditionalFormatting>
  <conditionalFormatting sqref="E27">
    <cfRule type="expression" dxfId="83" priority="10">
      <formula>#REF!="Other"</formula>
    </cfRule>
    <cfRule type="containsText" dxfId="82" priority="11" operator="containsText" text="N/A">
      <formula>NOT(ISERROR(SEARCH("N/A",E27)))</formula>
    </cfRule>
  </conditionalFormatting>
  <conditionalFormatting sqref="E8:F27 F28 E29:F118 F119">
    <cfRule type="containsText" dxfId="81" priority="43" operator="containsText" text="N/A">
      <formula>NOT(ISERROR(SEARCH("N/A",E8)))</formula>
    </cfRule>
  </conditionalFormatting>
  <dataValidations count="4">
    <dataValidation type="decimal" operator="greaterThan" allowBlank="1" showInputMessage="1" showErrorMessage="1" sqref="C30:C41 C17:C26 C8:C13 C97:C101 C45:C52 C56:C68 C84:C93 C105:C107 C111:C116 C72:C80" xr:uid="{00000000-0002-0000-0400-000000000000}">
      <formula1>0</formula1>
    </dataValidation>
    <dataValidation allowBlank="1" showInputMessage="1" showErrorMessage="1" promptTitle="Warning" prompt="Don't delete &quot;Other&quot; when listing costs over $999" sqref="A101 A107 A115:A116 A26 A93 A13 A52 A68 A80 A40:A41"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27" xr:uid="{00000000-0002-0000-0400-000002000000}"/>
    <dataValidation type="list" allowBlank="1" showInputMessage="1" showErrorMessage="1" sqref="C4:C5" xr:uid="{886BD27B-9C36-42EE-8DE8-E301E86D57D5}">
      <formula1>"Yes, No"</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0" max="6"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7"/>
  <sheetViews>
    <sheetView showGridLines="0" zoomScaleNormal="100" workbookViewId="0">
      <selection activeCell="D6" sqref="D6"/>
    </sheetView>
  </sheetViews>
  <sheetFormatPr defaultColWidth="7.85546875" defaultRowHeight="12.75" x14ac:dyDescent="0.2"/>
  <cols>
    <col min="1" max="1" width="17.5703125" style="1" customWidth="1"/>
    <col min="2" max="2" width="19.42578125" style="1" customWidth="1"/>
    <col min="3" max="3" width="12" style="1" customWidth="1"/>
    <col min="4" max="4" width="15.140625" style="1" customWidth="1"/>
    <col min="5" max="5" width="11" style="1" bestFit="1" customWidth="1"/>
    <col min="6" max="6" width="13.28515625" style="1" customWidth="1"/>
    <col min="7" max="7" width="11.42578125" style="1" customWidth="1"/>
    <col min="8" max="8" width="17.140625" style="1" customWidth="1"/>
    <col min="9" max="9" width="17.28515625" style="1" customWidth="1"/>
    <col min="10" max="10" width="15" style="1" customWidth="1"/>
    <col min="11" max="11" width="13.7109375" style="145" customWidth="1"/>
    <col min="12" max="12" width="13.28515625" style="1" customWidth="1"/>
    <col min="13" max="13" width="11.28515625" style="1" customWidth="1"/>
    <col min="14" max="14" width="13.42578125" style="1" customWidth="1"/>
    <col min="15" max="15" width="11.5703125" style="1" customWidth="1"/>
    <col min="16" max="17" width="13.28515625" style="1" hidden="1" customWidth="1"/>
    <col min="18" max="18" width="16.5703125" style="1" hidden="1" customWidth="1"/>
    <col min="19" max="19" width="10.7109375" style="145" hidden="1" customWidth="1"/>
    <col min="20" max="23" width="10.7109375" style="1" hidden="1" customWidth="1"/>
    <col min="24" max="24" width="8.5703125" style="1" hidden="1" customWidth="1"/>
    <col min="25" max="38" width="7.85546875" style="1" hidden="1" customWidth="1"/>
    <col min="39" max="39" width="11" style="1" hidden="1" customWidth="1"/>
    <col min="40" max="40" width="7.85546875" style="1" hidden="1" customWidth="1"/>
    <col min="41" max="41" width="9.140625" style="1" hidden="1" customWidth="1"/>
    <col min="42" max="42" width="9.7109375" style="1" hidden="1" customWidth="1"/>
    <col min="43" max="43" width="8.5703125" style="1" hidden="1" customWidth="1"/>
    <col min="44" max="44" width="7.85546875" style="1" hidden="1" customWidth="1"/>
    <col min="45" max="45" width="9" style="1" bestFit="1" customWidth="1"/>
    <col min="46" max="16384" width="7.85546875" style="1"/>
  </cols>
  <sheetData>
    <row r="1" spans="1:45" x14ac:dyDescent="0.2">
      <c r="A1" s="753" t="s">
        <v>104</v>
      </c>
      <c r="B1" s="753"/>
      <c r="C1" s="753"/>
      <c r="D1" s="753"/>
      <c r="E1" s="753"/>
      <c r="F1" s="753"/>
      <c r="G1" s="753"/>
      <c r="H1" s="753"/>
      <c r="I1" s="753"/>
      <c r="J1" s="753"/>
      <c r="K1" s="753"/>
      <c r="L1" s="753"/>
      <c r="M1" s="753"/>
      <c r="N1" s="753"/>
      <c r="O1" s="753"/>
      <c r="P1" s="98"/>
      <c r="Q1" s="16"/>
    </row>
    <row r="2" spans="1:45" x14ac:dyDescent="0.2">
      <c r="A2" s="753" t="s">
        <v>106</v>
      </c>
      <c r="B2" s="753"/>
      <c r="C2" s="753"/>
      <c r="D2" s="753"/>
      <c r="E2" s="753"/>
      <c r="F2" s="753"/>
      <c r="G2" s="753"/>
      <c r="H2" s="753"/>
      <c r="I2" s="753"/>
      <c r="J2" s="753"/>
      <c r="K2" s="753"/>
      <c r="L2" s="753"/>
      <c r="M2" s="753"/>
      <c r="N2" s="753"/>
      <c r="O2" s="753"/>
      <c r="P2" s="98"/>
      <c r="Q2" s="16"/>
    </row>
    <row r="3" spans="1:45" ht="13.5" thickBot="1" x14ac:dyDescent="0.25">
      <c r="A3" s="91" t="s">
        <v>65</v>
      </c>
      <c r="B3" s="19"/>
      <c r="D3" s="20"/>
      <c r="F3" s="17"/>
      <c r="J3" s="21"/>
      <c r="M3" s="22"/>
      <c r="N3" s="22"/>
      <c r="P3" s="22"/>
      <c r="Q3" s="22"/>
      <c r="R3" s="1" t="s">
        <v>40</v>
      </c>
      <c r="T3" s="1" t="s">
        <v>43</v>
      </c>
    </row>
    <row r="4" spans="1:45" ht="51.75" thickBot="1" x14ac:dyDescent="0.25">
      <c r="A4" s="787" t="s">
        <v>21</v>
      </c>
      <c r="B4" s="788"/>
      <c r="C4" s="611" t="s">
        <v>95</v>
      </c>
      <c r="D4" s="611" t="s">
        <v>41</v>
      </c>
      <c r="E4" s="611" t="s">
        <v>42</v>
      </c>
      <c r="F4" s="611" t="s">
        <v>90</v>
      </c>
      <c r="G4" s="611" t="s">
        <v>96</v>
      </c>
      <c r="H4" s="611" t="s">
        <v>532</v>
      </c>
      <c r="I4" s="611" t="s">
        <v>549</v>
      </c>
      <c r="J4" s="611" t="s">
        <v>555</v>
      </c>
      <c r="K4" s="594" t="s">
        <v>91</v>
      </c>
      <c r="L4" s="783" t="s">
        <v>467</v>
      </c>
      <c r="M4" s="784"/>
      <c r="N4" s="611" t="s">
        <v>113</v>
      </c>
      <c r="O4" s="594" t="s">
        <v>1191</v>
      </c>
      <c r="P4" s="23" t="s">
        <v>1082</v>
      </c>
      <c r="S4" s="146" t="s">
        <v>1242</v>
      </c>
      <c r="T4" s="24" t="s">
        <v>1083</v>
      </c>
      <c r="U4" s="24" t="s">
        <v>1088</v>
      </c>
      <c r="V4" s="24" t="s">
        <v>1087</v>
      </c>
      <c r="AL4" s="24" t="s">
        <v>533</v>
      </c>
      <c r="AM4" s="24" t="s">
        <v>1145</v>
      </c>
      <c r="AN4" s="24" t="s">
        <v>1102</v>
      </c>
      <c r="AO4" s="24" t="s">
        <v>1148</v>
      </c>
      <c r="AP4" s="24" t="s">
        <v>1160</v>
      </c>
      <c r="AQ4" s="24" t="s">
        <v>1584</v>
      </c>
      <c r="AR4" s="24" t="s">
        <v>1585</v>
      </c>
    </row>
    <row r="5" spans="1:45" ht="17.25" customHeight="1" thickBot="1" x14ac:dyDescent="0.25">
      <c r="A5" s="607" t="s">
        <v>44</v>
      </c>
      <c r="B5" s="608"/>
      <c r="C5" s="25"/>
      <c r="D5" s="26"/>
      <c r="E5" s="27"/>
      <c r="F5" s="28"/>
      <c r="G5" s="29"/>
      <c r="H5" s="30"/>
      <c r="I5" s="31"/>
      <c r="J5" s="32"/>
      <c r="K5" s="33" t="str">
        <f t="shared" ref="K5:K19" si="0">IF(ISNUMBER(J5),J5*12,IF(J5="N/A","",""))</f>
        <v/>
      </c>
      <c r="L5" s="767" t="e">
        <f>IF(ABS(O5-100%)&gt;2.5%,"Error, 'PMT' Does Not Equal 'Terms' ","")</f>
        <v>#NUM!</v>
      </c>
      <c r="M5" s="768"/>
      <c r="N5" s="34" t="e">
        <f>ROUND((PMT(E5/12,G5,D5)*-1),2)</f>
        <v>#NUM!</v>
      </c>
      <c r="O5" s="35" t="e">
        <f>N5/J5</f>
        <v>#NUM!</v>
      </c>
      <c r="P5" s="145" t="str">
        <f t="shared" ref="P5:P6" si="1">IF(OR(I5="deferred",I5="Cash Flow Payments"),"N",IF(OR(I5="P&amp;I Payments",I5="Interest Only"),"Y",""))</f>
        <v/>
      </c>
      <c r="Q5" s="1" t="s">
        <v>476</v>
      </c>
      <c r="R5" s="637" t="s">
        <v>1080</v>
      </c>
      <c r="T5" s="145" t="s">
        <v>1241</v>
      </c>
      <c r="U5" s="36">
        <f t="shared" ref="U5:U19" si="2">F5/12</f>
        <v>0</v>
      </c>
      <c r="V5" s="36">
        <f t="shared" ref="V5:V19" si="3">G5/12</f>
        <v>0</v>
      </c>
      <c r="W5" s="375">
        <v>1</v>
      </c>
      <c r="X5" s="375">
        <v>2</v>
      </c>
      <c r="Y5" s="375">
        <v>3</v>
      </c>
      <c r="Z5" s="375">
        <v>4</v>
      </c>
      <c r="AA5" s="375">
        <v>5</v>
      </c>
      <c r="AB5" s="375">
        <v>6</v>
      </c>
      <c r="AC5" s="375">
        <v>7</v>
      </c>
      <c r="AD5" s="375">
        <v>8</v>
      </c>
      <c r="AE5" s="375">
        <v>9</v>
      </c>
      <c r="AF5" s="375">
        <v>10</v>
      </c>
      <c r="AG5" s="375">
        <v>11</v>
      </c>
      <c r="AH5" s="375">
        <v>12</v>
      </c>
      <c r="AI5" s="375">
        <v>13</v>
      </c>
      <c r="AJ5" s="375">
        <v>14</v>
      </c>
      <c r="AK5" s="375">
        <v>15</v>
      </c>
      <c r="AO5" s="1" t="str">
        <f t="shared" ref="AO5:AO18" si="4">IF(P5="Y",K5,"")</f>
        <v/>
      </c>
    </row>
    <row r="6" spans="1:45" ht="17.25" customHeight="1" thickTop="1" x14ac:dyDescent="0.2">
      <c r="A6" s="609" t="s">
        <v>45</v>
      </c>
      <c r="B6" s="610"/>
      <c r="C6" s="38" t="s">
        <v>66</v>
      </c>
      <c r="D6" s="39"/>
      <c r="E6" s="40"/>
      <c r="F6" s="41"/>
      <c r="G6" s="42"/>
      <c r="H6" s="43"/>
      <c r="I6" s="44"/>
      <c r="J6" s="45"/>
      <c r="K6" s="46" t="str">
        <f>IF(ISNUMBER(J6),J6*12,IF(J6="N/A","",""))</f>
        <v/>
      </c>
      <c r="L6" s="779"/>
      <c r="M6" s="780"/>
      <c r="N6" s="47"/>
      <c r="O6" s="48"/>
      <c r="P6" s="145" t="str">
        <f t="shared" si="1"/>
        <v/>
      </c>
      <c r="Q6" s="1" t="s">
        <v>66</v>
      </c>
      <c r="R6" s="638" t="s">
        <v>111</v>
      </c>
      <c r="S6" s="145">
        <v>1</v>
      </c>
      <c r="T6" s="145" t="s">
        <v>1241</v>
      </c>
      <c r="U6" s="36">
        <f t="shared" si="2"/>
        <v>0</v>
      </c>
      <c r="V6" s="36">
        <f t="shared" si="3"/>
        <v>0</v>
      </c>
      <c r="W6" s="37"/>
      <c r="X6" s="37"/>
      <c r="Y6" s="37"/>
      <c r="Z6" s="37"/>
      <c r="AA6" s="37"/>
      <c r="AB6" s="37"/>
      <c r="AC6" s="37"/>
      <c r="AD6" s="37"/>
      <c r="AE6" s="37"/>
      <c r="AF6" s="37"/>
      <c r="AG6" s="37"/>
      <c r="AH6" s="37"/>
      <c r="AI6" s="37"/>
      <c r="AJ6" s="37"/>
      <c r="AK6" s="37"/>
      <c r="AL6" s="49">
        <f t="shared" ref="AL6:AL17" si="5">IF(AND(D7&gt;0,C7="Loan"),H7/D7,0)</f>
        <v>0</v>
      </c>
      <c r="AM6" s="50">
        <f t="shared" ref="AM6:AM18" si="6">H7</f>
        <v>0</v>
      </c>
      <c r="AO6" s="1" t="str">
        <f t="shared" si="4"/>
        <v/>
      </c>
      <c r="AQ6" s="670">
        <f>IF(AND(OR(I7="P&amp;I Payments",I7="Interest Only"),G7&lt;=180),E7,0)</f>
        <v>0</v>
      </c>
      <c r="AR6" s="670">
        <f>IF(AND(OR(I7="P&amp;I Payments",I7="Interest Only"),G7&gt;180),E7,0)</f>
        <v>0</v>
      </c>
    </row>
    <row r="7" spans="1:45" ht="17.25" customHeight="1" x14ac:dyDescent="0.25">
      <c r="A7" s="51" t="s">
        <v>1498</v>
      </c>
      <c r="B7" s="52"/>
      <c r="C7" s="38" t="s">
        <v>554</v>
      </c>
      <c r="D7" s="39"/>
      <c r="E7" s="53"/>
      <c r="F7" s="54"/>
      <c r="G7" s="54"/>
      <c r="H7" s="55"/>
      <c r="I7" s="56"/>
      <c r="J7" s="57"/>
      <c r="K7" s="46" t="str">
        <f t="shared" si="0"/>
        <v/>
      </c>
      <c r="L7" s="779" t="e">
        <f t="shared" ref="L7" si="7">IF(ABS(O7-100%)&gt;2.5%,"Error, 'PMT' Does Not Equal 'Terms' ","")</f>
        <v>#NUM!</v>
      </c>
      <c r="M7" s="780"/>
      <c r="N7" s="47" t="e">
        <f>ROUND(IF(I7="Interest Only",(D7*E7)/12,PMT(E7/12,G7,D7)*-1),2)</f>
        <v>#NUM!</v>
      </c>
      <c r="O7" s="58" t="e">
        <f t="shared" ref="O7:O19" si="8">N7/J7</f>
        <v>#NUM!</v>
      </c>
      <c r="P7" s="145" t="str">
        <f>IF(OR(I7="deferred",I7="Cash Flow Payments"),"N",IF(OR(I7="P&amp;I Payments",I7="Interest Only"),"Y",""))</f>
        <v/>
      </c>
      <c r="Q7" s="1" t="s">
        <v>110</v>
      </c>
      <c r="R7" s="639" t="s">
        <v>112</v>
      </c>
      <c r="S7" s="145">
        <v>2</v>
      </c>
      <c r="T7" s="145" t="str">
        <f t="shared" ref="T7:T19" si="9">IF(D7&gt;0,"Y","N")</f>
        <v>N</v>
      </c>
      <c r="U7" s="36">
        <f t="shared" si="2"/>
        <v>0</v>
      </c>
      <c r="V7" s="36">
        <f t="shared" si="3"/>
        <v>0</v>
      </c>
      <c r="W7" s="37">
        <f t="shared" ref="W7:W19" si="10">IF(F7&gt;11.9,IF(OR(I7="Interest Only",I7="P&amp;I Payments"),K7,0),0)</f>
        <v>0</v>
      </c>
      <c r="X7" s="37">
        <f t="shared" ref="X7:X19" si="11">IF($F7&gt;(11.99*X$5),(IF(OR(I7="Interest Only",I7="P&amp;I Payments"),K7,0)),0)</f>
        <v>0</v>
      </c>
      <c r="Y7" s="37">
        <f t="shared" ref="Y7:Y19" si="12">IF($F7&gt;(11.99*Y$5),(IF(OR(I7="Interest Only",I7="P&amp;I Payments"),K7,0)),0)</f>
        <v>0</v>
      </c>
      <c r="Z7" s="37">
        <f t="shared" ref="Z7:Z19" si="13">IF($F7&gt;(11.99*Z$5),(IF(OR(I7="Interest Only",I7="P&amp;I Payments"),K7,0)),0)</f>
        <v>0</v>
      </c>
      <c r="AA7" s="37">
        <f t="shared" ref="AA7:AA19" si="14">IF($F7&gt;(11.99*AA$5),(IF(OR(I7="Interest Only",I7="P&amp;I Payments"),K7,0)),0)</f>
        <v>0</v>
      </c>
      <c r="AB7" s="37">
        <f t="shared" ref="AB7:AB19" si="15">IF($F7&gt;(11.99*AB$5),(IF(OR(I7="Interest Only",I7="P&amp;I Payments"),K7,0)),0)</f>
        <v>0</v>
      </c>
      <c r="AC7" s="37">
        <f t="shared" ref="AC7:AC19" si="16">IF($F7&gt;(11.99*AC$5),(IF(OR(I7="Interest Only",I7="P&amp;I Payments"),K7,0)),0)</f>
        <v>0</v>
      </c>
      <c r="AD7" s="37">
        <f t="shared" ref="AD7:AD19" si="17">IF($F7&gt;(11.99*AD$5),(IF(OR(I7="Interest Only",I7="P&amp;I Payments"),K7,0)),0)</f>
        <v>0</v>
      </c>
      <c r="AE7" s="37">
        <f t="shared" ref="AE7:AE19" si="18">IF($F7&gt;(11.99*AE$5),(IF(OR(I7="Interest Only",I7="P&amp;I Payments"),K7,0)),0)</f>
        <v>0</v>
      </c>
      <c r="AF7" s="37">
        <f t="shared" ref="AF7:AF19" si="19">IF($F7&gt;(11.99*AF$5),(IF(OR(I7="Interest Only",I7="P&amp;I Payments"),K7,0)),0)</f>
        <v>0</v>
      </c>
      <c r="AG7" s="37">
        <f t="shared" ref="AG7:AG19" si="20">IF($F7&gt;(11.99*AG$5),(IF(OR(I7="Interest Only",I7="P&amp;I Payments"),K7,0)),0)</f>
        <v>0</v>
      </c>
      <c r="AH7" s="37">
        <f t="shared" ref="AH7:AH19" si="21">IF($F7&gt;(11.99*AH$5),(IF(OR(I7="Interest Only",I7="P&amp;I Payments"),K7,0)),0)</f>
        <v>0</v>
      </c>
      <c r="AI7" s="37">
        <f t="shared" ref="AI7:AI19" si="22">IF($F7&gt;(11.99*AI$5),(IF(OR(I7="Interest Only",I7="P&amp;I Payments"),K7,0)),0)</f>
        <v>0</v>
      </c>
      <c r="AJ7" s="37">
        <f t="shared" ref="AJ7:AJ19" si="23">IF($F7&gt;(11.99*AJ$5),(IF(OR(I7="Interest Only",I7="P&amp;I Payments"),K7,0)),0)</f>
        <v>0</v>
      </c>
      <c r="AK7" s="37">
        <f t="shared" ref="AK7:AK19" si="24">IF($F7&gt;(11.99*AK$5),(IF(OR(I7="Interest Only",I7="P&amp;I Payments"),K7,0)),0)</f>
        <v>0</v>
      </c>
      <c r="AL7" s="49">
        <f>IF(AND(D8&gt;0,C8="Loan"),H8/D8,0)</f>
        <v>0</v>
      </c>
      <c r="AM7" s="50">
        <f t="shared" si="6"/>
        <v>0</v>
      </c>
      <c r="AO7" s="1" t="str">
        <f t="shared" si="4"/>
        <v/>
      </c>
      <c r="AQ7" s="670">
        <f t="shared" ref="AQ7:AQ18" si="25">IF(AND(OR(I8="P&amp;I Payments",I8="Interest Only"),G8&lt;=180),E8,0)</f>
        <v>0</v>
      </c>
      <c r="AR7" s="670">
        <f t="shared" ref="AR7:AR18" si="26">IF(AND(OR(I8="P&amp;I Payments",I8="Interest Only"),G8&gt;180),E8,0)</f>
        <v>0</v>
      </c>
      <c r="AS7" s="640"/>
    </row>
    <row r="8" spans="1:45" ht="17.25" customHeight="1" x14ac:dyDescent="0.2">
      <c r="A8" s="59" t="s">
        <v>1081</v>
      </c>
      <c r="B8" s="60"/>
      <c r="C8" s="38" t="s">
        <v>110</v>
      </c>
      <c r="D8" s="39"/>
      <c r="E8" s="53"/>
      <c r="F8" s="54"/>
      <c r="G8" s="54"/>
      <c r="H8" s="55"/>
      <c r="I8" s="56"/>
      <c r="J8" s="57"/>
      <c r="K8" s="46" t="str">
        <f>IF(ISNUMBER(J8),J8*12,IF(J8="N/A","",""))</f>
        <v/>
      </c>
      <c r="L8" s="779" t="e">
        <f>IF(ABS(O8-100%)&gt;2.5%,"Error, 'PMT' Does Not Equal 'Terms' ","")</f>
        <v>#NUM!</v>
      </c>
      <c r="M8" s="780"/>
      <c r="N8" s="47" t="e">
        <f t="shared" ref="N8:N17" si="27">ROUND(IF(I8="Interest Only",(D8*E8)/12,PMT(E8/12,G8,D8)*-1),2)</f>
        <v>#NUM!</v>
      </c>
      <c r="O8" s="58" t="e">
        <f t="shared" si="8"/>
        <v>#NUM!</v>
      </c>
      <c r="P8" s="145" t="str">
        <f t="shared" ref="P8:P19" si="28">IF(OR(I8="deferred",I8="Cash Flow Payments"),"N",IF(OR(I8="P&amp;I Payments",I8="Interest Only"),"Y",""))</f>
        <v/>
      </c>
      <c r="Q8" s="1" t="s">
        <v>88</v>
      </c>
      <c r="R8" s="641"/>
      <c r="S8" s="145">
        <v>4</v>
      </c>
      <c r="T8" s="145" t="str">
        <f t="shared" si="9"/>
        <v>N</v>
      </c>
      <c r="U8" s="36">
        <f t="shared" si="2"/>
        <v>0</v>
      </c>
      <c r="V8" s="36">
        <f t="shared" si="3"/>
        <v>0</v>
      </c>
      <c r="W8" s="37">
        <f t="shared" si="10"/>
        <v>0</v>
      </c>
      <c r="X8" s="37">
        <f t="shared" si="11"/>
        <v>0</v>
      </c>
      <c r="Y8" s="37">
        <f t="shared" si="12"/>
        <v>0</v>
      </c>
      <c r="Z8" s="37">
        <f t="shared" si="13"/>
        <v>0</v>
      </c>
      <c r="AA8" s="37">
        <f t="shared" si="14"/>
        <v>0</v>
      </c>
      <c r="AB8" s="37">
        <f t="shared" si="15"/>
        <v>0</v>
      </c>
      <c r="AC8" s="37">
        <f t="shared" si="16"/>
        <v>0</v>
      </c>
      <c r="AD8" s="37">
        <f t="shared" si="17"/>
        <v>0</v>
      </c>
      <c r="AE8" s="37">
        <f t="shared" si="18"/>
        <v>0</v>
      </c>
      <c r="AF8" s="37">
        <f t="shared" si="19"/>
        <v>0</v>
      </c>
      <c r="AG8" s="37">
        <f t="shared" si="20"/>
        <v>0</v>
      </c>
      <c r="AH8" s="37">
        <f t="shared" si="21"/>
        <v>0</v>
      </c>
      <c r="AI8" s="37">
        <f t="shared" si="22"/>
        <v>0</v>
      </c>
      <c r="AJ8" s="37">
        <f t="shared" si="23"/>
        <v>0</v>
      </c>
      <c r="AK8" s="37">
        <f t="shared" si="24"/>
        <v>0</v>
      </c>
      <c r="AL8" s="49">
        <f t="shared" si="5"/>
        <v>0</v>
      </c>
      <c r="AM8" s="50">
        <f t="shared" si="6"/>
        <v>0</v>
      </c>
      <c r="AO8" s="1" t="str">
        <f t="shared" si="4"/>
        <v/>
      </c>
      <c r="AQ8" s="670">
        <f t="shared" si="25"/>
        <v>0</v>
      </c>
      <c r="AR8" s="670">
        <f t="shared" si="26"/>
        <v>0</v>
      </c>
    </row>
    <row r="9" spans="1:45" ht="17.25" customHeight="1" x14ac:dyDescent="0.2">
      <c r="A9" s="59" t="s">
        <v>502</v>
      </c>
      <c r="B9" s="60"/>
      <c r="C9" s="38" t="s">
        <v>110</v>
      </c>
      <c r="D9" s="61"/>
      <c r="E9" s="53"/>
      <c r="F9" s="54"/>
      <c r="G9" s="54"/>
      <c r="H9" s="55"/>
      <c r="I9" s="56"/>
      <c r="J9" s="57"/>
      <c r="K9" s="46" t="str">
        <f t="shared" si="0"/>
        <v/>
      </c>
      <c r="L9" s="779" t="e">
        <f>IF(ABS(O9-100%)&gt;2.5%,"Error, 'PMT' Does Not Equal 'Terms' ","")</f>
        <v>#NUM!</v>
      </c>
      <c r="M9" s="780"/>
      <c r="N9" s="47" t="e">
        <f t="shared" si="27"/>
        <v>#NUM!</v>
      </c>
      <c r="O9" s="58" t="e">
        <f t="shared" si="8"/>
        <v>#NUM!</v>
      </c>
      <c r="P9" s="145" t="str">
        <f t="shared" si="28"/>
        <v/>
      </c>
      <c r="Q9" s="1" t="s">
        <v>477</v>
      </c>
      <c r="S9" s="145">
        <v>18</v>
      </c>
      <c r="T9" s="145" t="str">
        <f t="shared" si="9"/>
        <v>N</v>
      </c>
      <c r="U9" s="36">
        <f t="shared" si="2"/>
        <v>0</v>
      </c>
      <c r="V9" s="36">
        <f t="shared" si="3"/>
        <v>0</v>
      </c>
      <c r="W9" s="37">
        <f t="shared" si="10"/>
        <v>0</v>
      </c>
      <c r="X9" s="37">
        <f t="shared" si="11"/>
        <v>0</v>
      </c>
      <c r="Y9" s="37">
        <f t="shared" si="12"/>
        <v>0</v>
      </c>
      <c r="Z9" s="37">
        <f t="shared" si="13"/>
        <v>0</v>
      </c>
      <c r="AA9" s="37">
        <f t="shared" si="14"/>
        <v>0</v>
      </c>
      <c r="AB9" s="37">
        <f t="shared" si="15"/>
        <v>0</v>
      </c>
      <c r="AC9" s="37">
        <f t="shared" si="16"/>
        <v>0</v>
      </c>
      <c r="AD9" s="37">
        <f t="shared" si="17"/>
        <v>0</v>
      </c>
      <c r="AE9" s="37">
        <f t="shared" si="18"/>
        <v>0</v>
      </c>
      <c r="AF9" s="37">
        <f t="shared" si="19"/>
        <v>0</v>
      </c>
      <c r="AG9" s="37">
        <f t="shared" si="20"/>
        <v>0</v>
      </c>
      <c r="AH9" s="37">
        <f t="shared" si="21"/>
        <v>0</v>
      </c>
      <c r="AI9" s="37">
        <f t="shared" si="22"/>
        <v>0</v>
      </c>
      <c r="AJ9" s="37">
        <f t="shared" si="23"/>
        <v>0</v>
      </c>
      <c r="AK9" s="37">
        <f t="shared" si="24"/>
        <v>0</v>
      </c>
      <c r="AL9" s="49">
        <f t="shared" si="5"/>
        <v>0</v>
      </c>
      <c r="AM9" s="50">
        <f t="shared" si="6"/>
        <v>0</v>
      </c>
      <c r="AO9" s="1" t="str">
        <f t="shared" si="4"/>
        <v/>
      </c>
      <c r="AQ9" s="670">
        <f t="shared" si="25"/>
        <v>0</v>
      </c>
      <c r="AR9" s="670">
        <f t="shared" si="26"/>
        <v>0</v>
      </c>
    </row>
    <row r="10" spans="1:45" ht="17.25" customHeight="1" x14ac:dyDescent="0.2">
      <c r="A10" s="59" t="s">
        <v>503</v>
      </c>
      <c r="B10" s="60"/>
      <c r="C10" s="38" t="s">
        <v>554</v>
      </c>
      <c r="D10" s="61"/>
      <c r="E10" s="53"/>
      <c r="F10" s="54"/>
      <c r="G10" s="62"/>
      <c r="H10" s="63"/>
      <c r="I10" s="56"/>
      <c r="J10" s="64"/>
      <c r="K10" s="46" t="str">
        <f t="shared" si="0"/>
        <v/>
      </c>
      <c r="L10" s="779" t="e">
        <f t="shared" ref="L10:L19" si="29">IF(ABS(O10-100%)&gt;2.5%,"Error, 'PMT' Does Not Equal 'Terms' ","")</f>
        <v>#NUM!</v>
      </c>
      <c r="M10" s="780"/>
      <c r="N10" s="47" t="e">
        <f t="shared" si="27"/>
        <v>#NUM!</v>
      </c>
      <c r="O10" s="58" t="e">
        <f t="shared" si="8"/>
        <v>#NUM!</v>
      </c>
      <c r="P10" s="145" t="str">
        <f t="shared" si="28"/>
        <v/>
      </c>
      <c r="S10" s="145">
        <v>19</v>
      </c>
      <c r="T10" s="145" t="str">
        <f t="shared" si="9"/>
        <v>N</v>
      </c>
      <c r="U10" s="36">
        <f t="shared" si="2"/>
        <v>0</v>
      </c>
      <c r="V10" s="36">
        <f t="shared" si="3"/>
        <v>0</v>
      </c>
      <c r="W10" s="37">
        <f t="shared" si="10"/>
        <v>0</v>
      </c>
      <c r="X10" s="37">
        <f t="shared" si="11"/>
        <v>0</v>
      </c>
      <c r="Y10" s="37">
        <f t="shared" si="12"/>
        <v>0</v>
      </c>
      <c r="Z10" s="37">
        <f t="shared" si="13"/>
        <v>0</v>
      </c>
      <c r="AA10" s="37">
        <f t="shared" si="14"/>
        <v>0</v>
      </c>
      <c r="AB10" s="37">
        <f t="shared" si="15"/>
        <v>0</v>
      </c>
      <c r="AC10" s="37">
        <f t="shared" si="16"/>
        <v>0</v>
      </c>
      <c r="AD10" s="37">
        <f t="shared" si="17"/>
        <v>0</v>
      </c>
      <c r="AE10" s="37">
        <f t="shared" si="18"/>
        <v>0</v>
      </c>
      <c r="AF10" s="37">
        <f t="shared" si="19"/>
        <v>0</v>
      </c>
      <c r="AG10" s="37">
        <f t="shared" si="20"/>
        <v>0</v>
      </c>
      <c r="AH10" s="37">
        <f t="shared" si="21"/>
        <v>0</v>
      </c>
      <c r="AI10" s="37">
        <f t="shared" si="22"/>
        <v>0</v>
      </c>
      <c r="AJ10" s="37">
        <f t="shared" si="23"/>
        <v>0</v>
      </c>
      <c r="AK10" s="37">
        <f t="shared" si="24"/>
        <v>0</v>
      </c>
      <c r="AL10" s="49">
        <f t="shared" si="5"/>
        <v>0</v>
      </c>
      <c r="AM10" s="50">
        <f t="shared" si="6"/>
        <v>0</v>
      </c>
      <c r="AO10" s="1" t="str">
        <f t="shared" si="4"/>
        <v/>
      </c>
      <c r="AQ10" s="670">
        <f t="shared" si="25"/>
        <v>0</v>
      </c>
      <c r="AR10" s="670">
        <f t="shared" si="26"/>
        <v>0</v>
      </c>
    </row>
    <row r="11" spans="1:45" ht="17.25" customHeight="1" x14ac:dyDescent="0.2">
      <c r="A11" s="382" t="s">
        <v>1084</v>
      </c>
      <c r="B11" s="383"/>
      <c r="C11" s="65"/>
      <c r="D11" s="61"/>
      <c r="E11" s="53"/>
      <c r="F11" s="54"/>
      <c r="G11" s="62"/>
      <c r="H11" s="63"/>
      <c r="I11" s="56"/>
      <c r="J11" s="64"/>
      <c r="K11" s="46" t="str">
        <f t="shared" si="0"/>
        <v/>
      </c>
      <c r="L11" s="779" t="e">
        <f t="shared" si="29"/>
        <v>#NUM!</v>
      </c>
      <c r="M11" s="780"/>
      <c r="N11" s="47" t="e">
        <f t="shared" si="27"/>
        <v>#NUM!</v>
      </c>
      <c r="O11" s="58" t="e">
        <f t="shared" si="8"/>
        <v>#NUM!</v>
      </c>
      <c r="P11" s="145" t="str">
        <f t="shared" si="28"/>
        <v/>
      </c>
      <c r="Q11" s="1" t="str">
        <f>IF(D5&gt;0,"AHP Subsidized Advance","AHP Direct Subsidy")</f>
        <v>AHP Direct Subsidy</v>
      </c>
      <c r="R11" s="80">
        <f>D5+D6</f>
        <v>0</v>
      </c>
      <c r="S11" s="145">
        <v>8</v>
      </c>
      <c r="T11" s="145" t="str">
        <f t="shared" si="9"/>
        <v>N</v>
      </c>
      <c r="U11" s="36">
        <f t="shared" si="2"/>
        <v>0</v>
      </c>
      <c r="V11" s="36">
        <f t="shared" si="3"/>
        <v>0</v>
      </c>
      <c r="W11" s="37">
        <f t="shared" si="10"/>
        <v>0</v>
      </c>
      <c r="X11" s="37">
        <f t="shared" si="11"/>
        <v>0</v>
      </c>
      <c r="Y11" s="37">
        <f t="shared" si="12"/>
        <v>0</v>
      </c>
      <c r="Z11" s="37">
        <f t="shared" si="13"/>
        <v>0</v>
      </c>
      <c r="AA11" s="37">
        <f t="shared" si="14"/>
        <v>0</v>
      </c>
      <c r="AB11" s="37">
        <f t="shared" si="15"/>
        <v>0</v>
      </c>
      <c r="AC11" s="37">
        <f t="shared" si="16"/>
        <v>0</v>
      </c>
      <c r="AD11" s="37">
        <f t="shared" si="17"/>
        <v>0</v>
      </c>
      <c r="AE11" s="37">
        <f t="shared" si="18"/>
        <v>0</v>
      </c>
      <c r="AF11" s="37">
        <f t="shared" si="19"/>
        <v>0</v>
      </c>
      <c r="AG11" s="37">
        <f t="shared" si="20"/>
        <v>0</v>
      </c>
      <c r="AH11" s="37">
        <f t="shared" si="21"/>
        <v>0</v>
      </c>
      <c r="AI11" s="37">
        <f t="shared" si="22"/>
        <v>0</v>
      </c>
      <c r="AJ11" s="37">
        <f t="shared" si="23"/>
        <v>0</v>
      </c>
      <c r="AK11" s="37">
        <f t="shared" si="24"/>
        <v>0</v>
      </c>
      <c r="AL11" s="49">
        <f t="shared" si="5"/>
        <v>0</v>
      </c>
      <c r="AM11" s="50">
        <f t="shared" si="6"/>
        <v>0</v>
      </c>
      <c r="AO11" s="1" t="str">
        <f t="shared" si="4"/>
        <v/>
      </c>
      <c r="AQ11" s="670">
        <f t="shared" si="25"/>
        <v>0</v>
      </c>
      <c r="AR11" s="670">
        <f t="shared" si="26"/>
        <v>0</v>
      </c>
    </row>
    <row r="12" spans="1:45" ht="17.25" customHeight="1" x14ac:dyDescent="0.2">
      <c r="A12" s="785"/>
      <c r="B12" s="786"/>
      <c r="C12" s="65"/>
      <c r="D12" s="61"/>
      <c r="E12" s="53"/>
      <c r="F12" s="54"/>
      <c r="G12" s="62"/>
      <c r="H12" s="63"/>
      <c r="I12" s="56"/>
      <c r="J12" s="64"/>
      <c r="K12" s="46" t="str">
        <f t="shared" si="0"/>
        <v/>
      </c>
      <c r="L12" s="779" t="e">
        <f t="shared" si="29"/>
        <v>#NUM!</v>
      </c>
      <c r="M12" s="780"/>
      <c r="N12" s="47" t="e">
        <f t="shared" si="27"/>
        <v>#NUM!</v>
      </c>
      <c r="O12" s="58" t="e">
        <f t="shared" si="8"/>
        <v>#NUM!</v>
      </c>
      <c r="P12" s="145" t="str">
        <f t="shared" si="28"/>
        <v/>
      </c>
      <c r="S12" s="145" t="str">
        <f t="shared" ref="S12:S19" si="30">IF(C12="Equity",21,IF(C12="Loan",16,IF(C12="Grant",20,"NA")))</f>
        <v>NA</v>
      </c>
      <c r="T12" s="145" t="str">
        <f t="shared" si="9"/>
        <v>N</v>
      </c>
      <c r="U12" s="36">
        <f t="shared" si="2"/>
        <v>0</v>
      </c>
      <c r="V12" s="36">
        <f t="shared" si="3"/>
        <v>0</v>
      </c>
      <c r="W12" s="37">
        <f t="shared" si="10"/>
        <v>0</v>
      </c>
      <c r="X12" s="37">
        <f t="shared" si="11"/>
        <v>0</v>
      </c>
      <c r="Y12" s="37">
        <f t="shared" si="12"/>
        <v>0</v>
      </c>
      <c r="Z12" s="37">
        <f t="shared" si="13"/>
        <v>0</v>
      </c>
      <c r="AA12" s="37">
        <f t="shared" si="14"/>
        <v>0</v>
      </c>
      <c r="AB12" s="37">
        <f t="shared" si="15"/>
        <v>0</v>
      </c>
      <c r="AC12" s="37">
        <f t="shared" si="16"/>
        <v>0</v>
      </c>
      <c r="AD12" s="37">
        <f t="shared" si="17"/>
        <v>0</v>
      </c>
      <c r="AE12" s="37">
        <f t="shared" si="18"/>
        <v>0</v>
      </c>
      <c r="AF12" s="37">
        <f t="shared" si="19"/>
        <v>0</v>
      </c>
      <c r="AG12" s="37">
        <f t="shared" si="20"/>
        <v>0</v>
      </c>
      <c r="AH12" s="37">
        <f t="shared" si="21"/>
        <v>0</v>
      </c>
      <c r="AI12" s="37">
        <f t="shared" si="22"/>
        <v>0</v>
      </c>
      <c r="AJ12" s="37">
        <f t="shared" si="23"/>
        <v>0</v>
      </c>
      <c r="AK12" s="37">
        <f t="shared" si="24"/>
        <v>0</v>
      </c>
      <c r="AL12" s="49">
        <f t="shared" si="5"/>
        <v>0</v>
      </c>
      <c r="AM12" s="50">
        <f t="shared" si="6"/>
        <v>0</v>
      </c>
      <c r="AO12" s="1" t="str">
        <f t="shared" si="4"/>
        <v/>
      </c>
      <c r="AQ12" s="670">
        <f t="shared" si="25"/>
        <v>0</v>
      </c>
      <c r="AR12" s="670">
        <f t="shared" si="26"/>
        <v>0</v>
      </c>
    </row>
    <row r="13" spans="1:45" ht="17.25" customHeight="1" x14ac:dyDescent="0.2">
      <c r="A13" s="756"/>
      <c r="B13" s="757"/>
      <c r="C13" s="65"/>
      <c r="D13" s="66"/>
      <c r="E13" s="53"/>
      <c r="F13" s="54"/>
      <c r="G13" s="62"/>
      <c r="H13" s="63"/>
      <c r="I13" s="56"/>
      <c r="J13" s="64"/>
      <c r="K13" s="46" t="str">
        <f t="shared" si="0"/>
        <v/>
      </c>
      <c r="L13" s="779" t="e">
        <f t="shared" si="29"/>
        <v>#NUM!</v>
      </c>
      <c r="M13" s="780"/>
      <c r="N13" s="47" t="e">
        <f t="shared" si="27"/>
        <v>#NUM!</v>
      </c>
      <c r="O13" s="58" t="e">
        <f t="shared" si="8"/>
        <v>#NUM!</v>
      </c>
      <c r="P13" s="145" t="str">
        <f t="shared" si="28"/>
        <v/>
      </c>
      <c r="S13" s="145" t="str">
        <f t="shared" si="30"/>
        <v>NA</v>
      </c>
      <c r="T13" s="145" t="str">
        <f t="shared" si="9"/>
        <v>N</v>
      </c>
      <c r="U13" s="36">
        <f t="shared" si="2"/>
        <v>0</v>
      </c>
      <c r="V13" s="36">
        <f t="shared" si="3"/>
        <v>0</v>
      </c>
      <c r="W13" s="37">
        <f t="shared" si="10"/>
        <v>0</v>
      </c>
      <c r="X13" s="37">
        <f t="shared" si="11"/>
        <v>0</v>
      </c>
      <c r="Y13" s="37">
        <f t="shared" si="12"/>
        <v>0</v>
      </c>
      <c r="Z13" s="37">
        <f t="shared" si="13"/>
        <v>0</v>
      </c>
      <c r="AA13" s="37">
        <f t="shared" si="14"/>
        <v>0</v>
      </c>
      <c r="AB13" s="37">
        <f t="shared" si="15"/>
        <v>0</v>
      </c>
      <c r="AC13" s="37">
        <f t="shared" si="16"/>
        <v>0</v>
      </c>
      <c r="AD13" s="37">
        <f t="shared" si="17"/>
        <v>0</v>
      </c>
      <c r="AE13" s="37">
        <f t="shared" si="18"/>
        <v>0</v>
      </c>
      <c r="AF13" s="37">
        <f t="shared" si="19"/>
        <v>0</v>
      </c>
      <c r="AG13" s="37">
        <f t="shared" si="20"/>
        <v>0</v>
      </c>
      <c r="AH13" s="37">
        <f t="shared" si="21"/>
        <v>0</v>
      </c>
      <c r="AI13" s="37">
        <f t="shared" si="22"/>
        <v>0</v>
      </c>
      <c r="AJ13" s="37">
        <f t="shared" si="23"/>
        <v>0</v>
      </c>
      <c r="AK13" s="37">
        <f t="shared" si="24"/>
        <v>0</v>
      </c>
      <c r="AL13" s="49">
        <f t="shared" si="5"/>
        <v>0</v>
      </c>
      <c r="AM13" s="50">
        <f t="shared" si="6"/>
        <v>0</v>
      </c>
      <c r="AO13" s="1" t="str">
        <f t="shared" si="4"/>
        <v/>
      </c>
      <c r="AQ13" s="670">
        <f t="shared" si="25"/>
        <v>0</v>
      </c>
      <c r="AR13" s="670">
        <f t="shared" si="26"/>
        <v>0</v>
      </c>
    </row>
    <row r="14" spans="1:45" ht="17.25" customHeight="1" x14ac:dyDescent="0.2">
      <c r="A14" s="756"/>
      <c r="B14" s="757"/>
      <c r="C14" s="65"/>
      <c r="D14" s="66"/>
      <c r="E14" s="53"/>
      <c r="F14" s="54"/>
      <c r="G14" s="62"/>
      <c r="H14" s="63"/>
      <c r="I14" s="56"/>
      <c r="J14" s="64"/>
      <c r="K14" s="46" t="str">
        <f t="shared" si="0"/>
        <v/>
      </c>
      <c r="L14" s="779" t="e">
        <f t="shared" si="29"/>
        <v>#NUM!</v>
      </c>
      <c r="M14" s="780"/>
      <c r="N14" s="47" t="e">
        <f t="shared" si="27"/>
        <v>#NUM!</v>
      </c>
      <c r="O14" s="58" t="e">
        <f t="shared" si="8"/>
        <v>#NUM!</v>
      </c>
      <c r="P14" s="145" t="str">
        <f t="shared" si="28"/>
        <v/>
      </c>
      <c r="R14" s="668"/>
      <c r="S14" s="145" t="str">
        <f t="shared" si="30"/>
        <v>NA</v>
      </c>
      <c r="T14" s="145" t="str">
        <f t="shared" si="9"/>
        <v>N</v>
      </c>
      <c r="U14" s="36">
        <f t="shared" si="2"/>
        <v>0</v>
      </c>
      <c r="V14" s="36">
        <f t="shared" si="3"/>
        <v>0</v>
      </c>
      <c r="W14" s="37">
        <f t="shared" si="10"/>
        <v>0</v>
      </c>
      <c r="X14" s="37">
        <f t="shared" si="11"/>
        <v>0</v>
      </c>
      <c r="Y14" s="37">
        <f t="shared" si="12"/>
        <v>0</v>
      </c>
      <c r="Z14" s="37">
        <f t="shared" si="13"/>
        <v>0</v>
      </c>
      <c r="AA14" s="37">
        <f t="shared" si="14"/>
        <v>0</v>
      </c>
      <c r="AB14" s="37">
        <f t="shared" si="15"/>
        <v>0</v>
      </c>
      <c r="AC14" s="37">
        <f t="shared" si="16"/>
        <v>0</v>
      </c>
      <c r="AD14" s="37">
        <f t="shared" si="17"/>
        <v>0</v>
      </c>
      <c r="AE14" s="37">
        <f t="shared" si="18"/>
        <v>0</v>
      </c>
      <c r="AF14" s="37">
        <f t="shared" si="19"/>
        <v>0</v>
      </c>
      <c r="AG14" s="37">
        <f t="shared" si="20"/>
        <v>0</v>
      </c>
      <c r="AH14" s="37">
        <f t="shared" si="21"/>
        <v>0</v>
      </c>
      <c r="AI14" s="37">
        <f t="shared" si="22"/>
        <v>0</v>
      </c>
      <c r="AJ14" s="37">
        <f t="shared" si="23"/>
        <v>0</v>
      </c>
      <c r="AK14" s="37">
        <f t="shared" si="24"/>
        <v>0</v>
      </c>
      <c r="AL14" s="49">
        <f t="shared" si="5"/>
        <v>0</v>
      </c>
      <c r="AM14" s="50">
        <f t="shared" si="6"/>
        <v>0</v>
      </c>
      <c r="AO14" s="1" t="str">
        <f t="shared" si="4"/>
        <v/>
      </c>
      <c r="AQ14" s="670">
        <f t="shared" si="25"/>
        <v>0</v>
      </c>
      <c r="AR14" s="670">
        <f t="shared" si="26"/>
        <v>0</v>
      </c>
    </row>
    <row r="15" spans="1:45" ht="17.25" customHeight="1" x14ac:dyDescent="0.2">
      <c r="A15" s="756"/>
      <c r="B15" s="757"/>
      <c r="C15" s="65"/>
      <c r="D15" s="67"/>
      <c r="E15" s="53"/>
      <c r="F15" s="54"/>
      <c r="G15" s="68"/>
      <c r="H15" s="63"/>
      <c r="I15" s="56"/>
      <c r="J15" s="64"/>
      <c r="K15" s="46" t="str">
        <f>IF(ISNUMBER(J15),J15*12,IF(J15="N/A","",""))</f>
        <v/>
      </c>
      <c r="L15" s="779" t="e">
        <f t="shared" ref="L15:L17" si="31">IF(ABS(O15-100%)&gt;2.5%,"Error, 'PMT' Does Not Equal 'Terms' ","")</f>
        <v>#NUM!</v>
      </c>
      <c r="M15" s="780"/>
      <c r="N15" s="47" t="e">
        <f t="shared" si="27"/>
        <v>#NUM!</v>
      </c>
      <c r="O15" s="58" t="e">
        <f t="shared" si="8"/>
        <v>#NUM!</v>
      </c>
      <c r="P15" s="145" t="str">
        <f t="shared" si="28"/>
        <v/>
      </c>
      <c r="S15" s="145" t="str">
        <f t="shared" si="30"/>
        <v>NA</v>
      </c>
      <c r="T15" s="145" t="str">
        <f t="shared" si="9"/>
        <v>N</v>
      </c>
      <c r="U15" s="36">
        <f t="shared" si="2"/>
        <v>0</v>
      </c>
      <c r="V15" s="36">
        <f t="shared" si="3"/>
        <v>0</v>
      </c>
      <c r="W15" s="37">
        <f t="shared" si="10"/>
        <v>0</v>
      </c>
      <c r="X15" s="37">
        <f t="shared" si="11"/>
        <v>0</v>
      </c>
      <c r="Y15" s="37">
        <f t="shared" si="12"/>
        <v>0</v>
      </c>
      <c r="Z15" s="37">
        <f t="shared" si="13"/>
        <v>0</v>
      </c>
      <c r="AA15" s="37">
        <f t="shared" si="14"/>
        <v>0</v>
      </c>
      <c r="AB15" s="37">
        <f t="shared" si="15"/>
        <v>0</v>
      </c>
      <c r="AC15" s="37">
        <f t="shared" si="16"/>
        <v>0</v>
      </c>
      <c r="AD15" s="37">
        <f t="shared" si="17"/>
        <v>0</v>
      </c>
      <c r="AE15" s="37">
        <f t="shared" si="18"/>
        <v>0</v>
      </c>
      <c r="AF15" s="37">
        <f t="shared" si="19"/>
        <v>0</v>
      </c>
      <c r="AG15" s="37">
        <f t="shared" si="20"/>
        <v>0</v>
      </c>
      <c r="AH15" s="37">
        <f t="shared" si="21"/>
        <v>0</v>
      </c>
      <c r="AI15" s="37">
        <f t="shared" si="22"/>
        <v>0</v>
      </c>
      <c r="AJ15" s="37">
        <f t="shared" si="23"/>
        <v>0</v>
      </c>
      <c r="AK15" s="37">
        <f t="shared" si="24"/>
        <v>0</v>
      </c>
      <c r="AL15" s="49">
        <f t="shared" si="5"/>
        <v>0</v>
      </c>
      <c r="AM15" s="50">
        <f t="shared" si="6"/>
        <v>0</v>
      </c>
      <c r="AO15" s="1" t="str">
        <f t="shared" si="4"/>
        <v/>
      </c>
      <c r="AQ15" s="670">
        <f t="shared" si="25"/>
        <v>0</v>
      </c>
      <c r="AR15" s="670">
        <f t="shared" si="26"/>
        <v>0</v>
      </c>
    </row>
    <row r="16" spans="1:45" ht="17.25" customHeight="1" x14ac:dyDescent="0.2">
      <c r="A16" s="756"/>
      <c r="B16" s="757"/>
      <c r="C16" s="65"/>
      <c r="D16" s="67"/>
      <c r="E16" s="53"/>
      <c r="F16" s="54"/>
      <c r="G16" s="68"/>
      <c r="H16" s="63"/>
      <c r="I16" s="56"/>
      <c r="J16" s="64"/>
      <c r="K16" s="46" t="str">
        <f>IF(ISNUMBER(J16),J16*12,IF(J16="N/A","",""))</f>
        <v/>
      </c>
      <c r="L16" s="779" t="e">
        <f t="shared" si="31"/>
        <v>#NUM!</v>
      </c>
      <c r="M16" s="780"/>
      <c r="N16" s="47" t="e">
        <f t="shared" si="27"/>
        <v>#NUM!</v>
      </c>
      <c r="O16" s="58" t="e">
        <f t="shared" si="8"/>
        <v>#NUM!</v>
      </c>
      <c r="P16" s="145" t="str">
        <f t="shared" si="28"/>
        <v/>
      </c>
      <c r="S16" s="145" t="str">
        <f t="shared" si="30"/>
        <v>NA</v>
      </c>
      <c r="T16" s="145" t="str">
        <f t="shared" si="9"/>
        <v>N</v>
      </c>
      <c r="U16" s="36">
        <f t="shared" si="2"/>
        <v>0</v>
      </c>
      <c r="V16" s="36">
        <f t="shared" si="3"/>
        <v>0</v>
      </c>
      <c r="W16" s="37">
        <f t="shared" si="10"/>
        <v>0</v>
      </c>
      <c r="X16" s="37">
        <f t="shared" si="11"/>
        <v>0</v>
      </c>
      <c r="Y16" s="37">
        <f t="shared" si="12"/>
        <v>0</v>
      </c>
      <c r="Z16" s="37">
        <f t="shared" si="13"/>
        <v>0</v>
      </c>
      <c r="AA16" s="37">
        <f t="shared" si="14"/>
        <v>0</v>
      </c>
      <c r="AB16" s="37">
        <f t="shared" si="15"/>
        <v>0</v>
      </c>
      <c r="AC16" s="37">
        <f t="shared" si="16"/>
        <v>0</v>
      </c>
      <c r="AD16" s="37">
        <f t="shared" si="17"/>
        <v>0</v>
      </c>
      <c r="AE16" s="37">
        <f t="shared" si="18"/>
        <v>0</v>
      </c>
      <c r="AF16" s="37">
        <f t="shared" si="19"/>
        <v>0</v>
      </c>
      <c r="AG16" s="37">
        <f t="shared" si="20"/>
        <v>0</v>
      </c>
      <c r="AH16" s="37">
        <f t="shared" si="21"/>
        <v>0</v>
      </c>
      <c r="AI16" s="37">
        <f t="shared" si="22"/>
        <v>0</v>
      </c>
      <c r="AJ16" s="37">
        <f t="shared" si="23"/>
        <v>0</v>
      </c>
      <c r="AK16" s="37">
        <f t="shared" si="24"/>
        <v>0</v>
      </c>
      <c r="AL16" s="49">
        <f t="shared" si="5"/>
        <v>0</v>
      </c>
      <c r="AM16" s="50">
        <f t="shared" si="6"/>
        <v>0</v>
      </c>
      <c r="AO16" s="1" t="str">
        <f t="shared" si="4"/>
        <v/>
      </c>
      <c r="AQ16" s="670">
        <f t="shared" si="25"/>
        <v>0</v>
      </c>
      <c r="AR16" s="670">
        <f t="shared" si="26"/>
        <v>0</v>
      </c>
    </row>
    <row r="17" spans="1:44" ht="17.25" customHeight="1" x14ac:dyDescent="0.2">
      <c r="A17" s="756"/>
      <c r="B17" s="757"/>
      <c r="C17" s="65"/>
      <c r="D17" s="67"/>
      <c r="E17" s="53"/>
      <c r="F17" s="54"/>
      <c r="G17" s="68"/>
      <c r="H17" s="63"/>
      <c r="I17" s="56"/>
      <c r="J17" s="64"/>
      <c r="K17" s="46" t="str">
        <f>IF(ISNUMBER(J17),J17*12,IF(J17="N/A","",""))</f>
        <v/>
      </c>
      <c r="L17" s="779" t="e">
        <f t="shared" si="31"/>
        <v>#NUM!</v>
      </c>
      <c r="M17" s="780"/>
      <c r="N17" s="47" t="e">
        <f t="shared" si="27"/>
        <v>#NUM!</v>
      </c>
      <c r="O17" s="58" t="e">
        <f t="shared" si="8"/>
        <v>#NUM!</v>
      </c>
      <c r="P17" s="145" t="str">
        <f t="shared" si="28"/>
        <v/>
      </c>
      <c r="S17" s="145" t="str">
        <f t="shared" si="30"/>
        <v>NA</v>
      </c>
      <c r="T17" s="145" t="str">
        <f t="shared" si="9"/>
        <v>N</v>
      </c>
      <c r="U17" s="36">
        <f t="shared" si="2"/>
        <v>0</v>
      </c>
      <c r="V17" s="36">
        <f t="shared" si="3"/>
        <v>0</v>
      </c>
      <c r="W17" s="37">
        <f t="shared" si="10"/>
        <v>0</v>
      </c>
      <c r="X17" s="37">
        <f t="shared" si="11"/>
        <v>0</v>
      </c>
      <c r="Y17" s="37">
        <f t="shared" si="12"/>
        <v>0</v>
      </c>
      <c r="Z17" s="37">
        <f t="shared" si="13"/>
        <v>0</v>
      </c>
      <c r="AA17" s="37">
        <f t="shared" si="14"/>
        <v>0</v>
      </c>
      <c r="AB17" s="37">
        <f t="shared" si="15"/>
        <v>0</v>
      </c>
      <c r="AC17" s="37">
        <f t="shared" si="16"/>
        <v>0</v>
      </c>
      <c r="AD17" s="37">
        <f t="shared" si="17"/>
        <v>0</v>
      </c>
      <c r="AE17" s="37">
        <f t="shared" si="18"/>
        <v>0</v>
      </c>
      <c r="AF17" s="37">
        <f t="shared" si="19"/>
        <v>0</v>
      </c>
      <c r="AG17" s="37">
        <f t="shared" si="20"/>
        <v>0</v>
      </c>
      <c r="AH17" s="37">
        <f t="shared" si="21"/>
        <v>0</v>
      </c>
      <c r="AI17" s="37">
        <f t="shared" si="22"/>
        <v>0</v>
      </c>
      <c r="AJ17" s="37">
        <f t="shared" si="23"/>
        <v>0</v>
      </c>
      <c r="AK17" s="37">
        <f t="shared" si="24"/>
        <v>0</v>
      </c>
      <c r="AL17" s="49">
        <f t="shared" si="5"/>
        <v>0</v>
      </c>
      <c r="AM17" s="50">
        <f t="shared" si="6"/>
        <v>0</v>
      </c>
      <c r="AO17" s="1" t="str">
        <f t="shared" si="4"/>
        <v/>
      </c>
      <c r="AQ17" s="670">
        <f t="shared" si="25"/>
        <v>0</v>
      </c>
      <c r="AR17" s="670">
        <f t="shared" si="26"/>
        <v>0</v>
      </c>
    </row>
    <row r="18" spans="1:44" ht="17.25" customHeight="1" x14ac:dyDescent="0.2">
      <c r="A18" s="756"/>
      <c r="B18" s="757"/>
      <c r="C18" s="65"/>
      <c r="D18" s="39"/>
      <c r="E18" s="53"/>
      <c r="F18" s="54"/>
      <c r="G18" s="68"/>
      <c r="H18" s="69"/>
      <c r="I18" s="56"/>
      <c r="J18" s="64"/>
      <c r="K18" s="46" t="str">
        <f>IF(ISNUMBER(J18),J18*12,IF(J18="N/A","",""))</f>
        <v/>
      </c>
      <c r="L18" s="779" t="e">
        <f t="shared" si="29"/>
        <v>#NUM!</v>
      </c>
      <c r="M18" s="780"/>
      <c r="N18" s="47" t="e">
        <f>ROUND(IF(I18="Interest Only",(D18*E18)/12,PMT(E18/12,G18,D18)*-1),2)</f>
        <v>#NUM!</v>
      </c>
      <c r="O18" s="58" t="e">
        <f t="shared" si="8"/>
        <v>#NUM!</v>
      </c>
      <c r="P18" s="145" t="str">
        <f t="shared" si="28"/>
        <v/>
      </c>
      <c r="S18" s="145" t="str">
        <f t="shared" si="30"/>
        <v>NA</v>
      </c>
      <c r="T18" s="145" t="str">
        <f t="shared" si="9"/>
        <v>N</v>
      </c>
      <c r="U18" s="36">
        <f t="shared" si="2"/>
        <v>0</v>
      </c>
      <c r="V18" s="36">
        <f t="shared" si="3"/>
        <v>0</v>
      </c>
      <c r="W18" s="37">
        <f t="shared" si="10"/>
        <v>0</v>
      </c>
      <c r="X18" s="37">
        <f t="shared" si="11"/>
        <v>0</v>
      </c>
      <c r="Y18" s="37">
        <f t="shared" si="12"/>
        <v>0</v>
      </c>
      <c r="Z18" s="37">
        <f t="shared" si="13"/>
        <v>0</v>
      </c>
      <c r="AA18" s="37">
        <f t="shared" si="14"/>
        <v>0</v>
      </c>
      <c r="AB18" s="37">
        <f t="shared" si="15"/>
        <v>0</v>
      </c>
      <c r="AC18" s="37">
        <f t="shared" si="16"/>
        <v>0</v>
      </c>
      <c r="AD18" s="37">
        <f t="shared" si="17"/>
        <v>0</v>
      </c>
      <c r="AE18" s="37">
        <f t="shared" si="18"/>
        <v>0</v>
      </c>
      <c r="AF18" s="37">
        <f t="shared" si="19"/>
        <v>0</v>
      </c>
      <c r="AG18" s="37">
        <f t="shared" si="20"/>
        <v>0</v>
      </c>
      <c r="AH18" s="37">
        <f t="shared" si="21"/>
        <v>0</v>
      </c>
      <c r="AI18" s="37">
        <f t="shared" si="22"/>
        <v>0</v>
      </c>
      <c r="AJ18" s="37">
        <f t="shared" si="23"/>
        <v>0</v>
      </c>
      <c r="AK18" s="37">
        <f t="shared" si="24"/>
        <v>0</v>
      </c>
      <c r="AL18" s="49">
        <f>IF(AND(D19&gt;0,C19="Loan"),H19/D19,0)</f>
        <v>0</v>
      </c>
      <c r="AM18" s="50">
        <f t="shared" si="6"/>
        <v>0</v>
      </c>
      <c r="AO18" s="1" t="str">
        <f t="shared" si="4"/>
        <v/>
      </c>
      <c r="AQ18" s="670">
        <f t="shared" si="25"/>
        <v>0</v>
      </c>
      <c r="AR18" s="670">
        <f t="shared" si="26"/>
        <v>0</v>
      </c>
    </row>
    <row r="19" spans="1:44" ht="17.25" customHeight="1" thickBot="1" x14ac:dyDescent="0.25">
      <c r="A19" s="807"/>
      <c r="B19" s="808"/>
      <c r="C19" s="70"/>
      <c r="D19" s="70"/>
      <c r="E19" s="71"/>
      <c r="F19" s="72"/>
      <c r="G19" s="73"/>
      <c r="H19" s="74"/>
      <c r="I19" s="75"/>
      <c r="J19" s="76"/>
      <c r="K19" s="77" t="str">
        <f t="shared" si="0"/>
        <v/>
      </c>
      <c r="L19" s="789" t="e">
        <f t="shared" si="29"/>
        <v>#NUM!</v>
      </c>
      <c r="M19" s="790"/>
      <c r="N19" s="78" t="e">
        <f t="shared" ref="N19" si="32">ROUND((PMT(E19/12,G19,D19)*-1),2)</f>
        <v>#NUM!</v>
      </c>
      <c r="O19" s="79" t="e">
        <f t="shared" si="8"/>
        <v>#NUM!</v>
      </c>
      <c r="P19" s="145" t="str">
        <f t="shared" si="28"/>
        <v/>
      </c>
      <c r="S19" s="145" t="str">
        <f t="shared" si="30"/>
        <v>NA</v>
      </c>
      <c r="T19" s="145" t="str">
        <f t="shared" si="9"/>
        <v>N</v>
      </c>
      <c r="U19" s="36">
        <f t="shared" si="2"/>
        <v>0</v>
      </c>
      <c r="V19" s="36">
        <f t="shared" si="3"/>
        <v>0</v>
      </c>
      <c r="W19" s="37">
        <f t="shared" si="10"/>
        <v>0</v>
      </c>
      <c r="X19" s="37">
        <f t="shared" si="11"/>
        <v>0</v>
      </c>
      <c r="Y19" s="37">
        <f t="shared" si="12"/>
        <v>0</v>
      </c>
      <c r="Z19" s="37">
        <f t="shared" si="13"/>
        <v>0</v>
      </c>
      <c r="AA19" s="37">
        <f t="shared" si="14"/>
        <v>0</v>
      </c>
      <c r="AB19" s="37">
        <f t="shared" si="15"/>
        <v>0</v>
      </c>
      <c r="AC19" s="37">
        <f t="shared" si="16"/>
        <v>0</v>
      </c>
      <c r="AD19" s="37">
        <f t="shared" si="17"/>
        <v>0</v>
      </c>
      <c r="AE19" s="37">
        <f t="shared" si="18"/>
        <v>0</v>
      </c>
      <c r="AF19" s="37">
        <f t="shared" si="19"/>
        <v>0</v>
      </c>
      <c r="AG19" s="37">
        <f t="shared" si="20"/>
        <v>0</v>
      </c>
      <c r="AH19" s="37">
        <f t="shared" si="21"/>
        <v>0</v>
      </c>
      <c r="AI19" s="37">
        <f t="shared" si="22"/>
        <v>0</v>
      </c>
      <c r="AJ19" s="37">
        <f t="shared" si="23"/>
        <v>0</v>
      </c>
      <c r="AK19" s="37">
        <f t="shared" si="24"/>
        <v>0</v>
      </c>
      <c r="AL19" s="49">
        <f>IF(AND(D20&gt;0,C20="Loan"),H20/D20,0)</f>
        <v>0</v>
      </c>
      <c r="AO19" s="80">
        <f>SUM(AO5:AO18)</f>
        <v>0</v>
      </c>
      <c r="AP19" s="80">
        <f>AO19</f>
        <v>0</v>
      </c>
      <c r="AQ19" s="670"/>
    </row>
    <row r="20" spans="1:44" ht="21" customHeight="1" thickBot="1" x14ac:dyDescent="0.25">
      <c r="A20" s="81" t="s">
        <v>1497</v>
      </c>
      <c r="B20" s="82"/>
      <c r="C20" s="83"/>
      <c r="D20" s="84">
        <f>ROUND(SUM(D5:D19),0)</f>
        <v>0</v>
      </c>
      <c r="E20" s="85"/>
      <c r="F20" s="86"/>
      <c r="G20" s="83"/>
      <c r="H20" s="87">
        <f>SUM(H5:H19)</f>
        <v>0</v>
      </c>
      <c r="I20" s="83"/>
      <c r="J20" s="87">
        <f>SUM(J5:J19)</f>
        <v>0</v>
      </c>
      <c r="K20" s="88">
        <f>IF(OR(I7="Interest Only",I7="P&amp;I Payments"),K7,0)+IF(OR(I8="Interest Only",I8="P&amp;I Payments"),K8,0)+IF(OR(I9="Interest Only",I9="P&amp;I Payments"),K9,0)+IF(OR(I10="Interest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f>
        <v>0</v>
      </c>
      <c r="L20" s="791"/>
      <c r="M20" s="792"/>
      <c r="N20" s="89"/>
      <c r="O20" s="90"/>
      <c r="P20" s="145"/>
      <c r="T20" s="754" t="s">
        <v>1283</v>
      </c>
      <c r="U20" s="754"/>
      <c r="V20" s="754"/>
      <c r="W20" s="37">
        <f>SUM(W7:W19)</f>
        <v>0</v>
      </c>
      <c r="X20" s="37">
        <f t="shared" ref="X20:AK20" si="33">SUM(X7:X19)</f>
        <v>0</v>
      </c>
      <c r="Y20" s="37">
        <f t="shared" si="33"/>
        <v>0</v>
      </c>
      <c r="Z20" s="37">
        <f t="shared" si="33"/>
        <v>0</v>
      </c>
      <c r="AA20" s="37">
        <f t="shared" si="33"/>
        <v>0</v>
      </c>
      <c r="AB20" s="37">
        <f t="shared" si="33"/>
        <v>0</v>
      </c>
      <c r="AC20" s="37">
        <f t="shared" si="33"/>
        <v>0</v>
      </c>
      <c r="AD20" s="37">
        <f t="shared" si="33"/>
        <v>0</v>
      </c>
      <c r="AE20" s="37">
        <f t="shared" si="33"/>
        <v>0</v>
      </c>
      <c r="AF20" s="37">
        <f t="shared" si="33"/>
        <v>0</v>
      </c>
      <c r="AG20" s="37">
        <f t="shared" si="33"/>
        <v>0</v>
      </c>
      <c r="AH20" s="37">
        <f t="shared" si="33"/>
        <v>0</v>
      </c>
      <c r="AI20" s="37">
        <f t="shared" si="33"/>
        <v>0</v>
      </c>
      <c r="AJ20" s="37">
        <f t="shared" si="33"/>
        <v>0</v>
      </c>
      <c r="AK20" s="37">
        <f t="shared" si="33"/>
        <v>0</v>
      </c>
    </row>
    <row r="21" spans="1:44" ht="19.5" customHeight="1" thickBot="1" x14ac:dyDescent="0.25">
      <c r="A21" s="569"/>
      <c r="B21" s="572" t="str">
        <f>IF(ABS($D$20-'Development Budget Worksheet'!C119)&lt;0.5,"","Error, 'Total Permanent Sources' Does Not Equal 'Total Development Costs' on Development Budget")</f>
        <v/>
      </c>
      <c r="C21" s="561"/>
      <c r="D21" s="562"/>
      <c r="E21" s="563"/>
      <c r="F21" s="564"/>
      <c r="G21" s="561"/>
      <c r="H21" s="570" t="str">
        <f>IF(H20&lt;&gt;L21,"Loan Fees do not match Development Budget","")</f>
        <v/>
      </c>
      <c r="J21" s="565"/>
      <c r="K21" s="562"/>
      <c r="L21" s="591">
        <f>'Development Budget Worksheet'!C76</f>
        <v>0</v>
      </c>
      <c r="M21" s="566"/>
      <c r="O21" s="669"/>
      <c r="T21" s="805" t="s">
        <v>1226</v>
      </c>
      <c r="U21" s="805"/>
      <c r="V21" s="805"/>
      <c r="W21" s="144">
        <f>SUM(W7:W20)</f>
        <v>0</v>
      </c>
      <c r="X21" s="15"/>
      <c r="Y21" s="15"/>
      <c r="Z21" s="15"/>
      <c r="AA21" s="15"/>
      <c r="AB21" s="15"/>
      <c r="AC21" s="15"/>
      <c r="AD21" s="15"/>
      <c r="AE21" s="15"/>
      <c r="AF21" s="15"/>
      <c r="AG21" s="15"/>
      <c r="AH21" s="15"/>
      <c r="AI21" s="15"/>
      <c r="AJ21" s="15"/>
      <c r="AK21" s="15"/>
    </row>
    <row r="22" spans="1:44" ht="48.75" customHeight="1" thickBot="1" x14ac:dyDescent="0.25">
      <c r="A22" s="781" t="s">
        <v>1495</v>
      </c>
      <c r="B22" s="782"/>
      <c r="C22" s="611" t="s">
        <v>95</v>
      </c>
      <c r="D22" s="611" t="s">
        <v>41</v>
      </c>
      <c r="E22" s="611" t="s">
        <v>42</v>
      </c>
      <c r="F22" s="611" t="s">
        <v>90</v>
      </c>
      <c r="G22" s="611" t="s">
        <v>96</v>
      </c>
      <c r="H22" s="611" t="s">
        <v>1557</v>
      </c>
      <c r="I22" s="611" t="s">
        <v>549</v>
      </c>
      <c r="J22" s="611" t="s">
        <v>555</v>
      </c>
      <c r="K22" s="594" t="s">
        <v>91</v>
      </c>
      <c r="L22" s="783" t="s">
        <v>467</v>
      </c>
      <c r="M22" s="784"/>
      <c r="N22" s="611" t="s">
        <v>113</v>
      </c>
      <c r="O22" s="594" t="s">
        <v>1191</v>
      </c>
      <c r="T22" s="806" t="s">
        <v>1227</v>
      </c>
      <c r="U22" s="806"/>
      <c r="V22" s="806"/>
      <c r="W22" s="80">
        <f>W19+W21</f>
        <v>0</v>
      </c>
    </row>
    <row r="23" spans="1:44" ht="19.5" customHeight="1" x14ac:dyDescent="0.2">
      <c r="A23" s="785"/>
      <c r="B23" s="786"/>
      <c r="C23" s="65"/>
      <c r="D23" s="61"/>
      <c r="E23" s="53"/>
      <c r="F23" s="54"/>
      <c r="G23" s="62"/>
      <c r="H23" s="685"/>
      <c r="I23" s="56"/>
      <c r="J23" s="64"/>
      <c r="K23" s="46" t="str">
        <f t="shared" ref="K23:K25" si="34">IF(ISNUMBER(J23),J23*12,IF(J23="N/A","",""))</f>
        <v/>
      </c>
      <c r="L23" s="767" t="e">
        <f>IF(ABS(O23-100%)&gt;2.5%,"Error, 'PMT' Does Not Equal 'Terms' ","")</f>
        <v>#NUM!</v>
      </c>
      <c r="M23" s="768"/>
      <c r="N23" s="34" t="e">
        <f>ROUND(IF(I23="Interest Only",(D23*E23)/12,PMT(E23/12,G23,D23)*-1),2)</f>
        <v>#NUM!</v>
      </c>
      <c r="O23" s="35" t="e">
        <f>N23/J23</f>
        <v>#NUM!</v>
      </c>
      <c r="T23" s="755" t="s">
        <v>1495</v>
      </c>
      <c r="U23" s="755"/>
      <c r="V23" s="755"/>
      <c r="W23" s="37">
        <f>IF(H23&gt;11.9,IF(OR(I23="Interest Only",I23="P&amp;I Payments"),K23,0),0)</f>
        <v>0</v>
      </c>
      <c r="X23" s="37">
        <f>IF($H23&gt;(11.99*X$5),(IF(OR(I23="Interest Only",I23="P&amp;I Payments"),K23,0)),0)</f>
        <v>0</v>
      </c>
      <c r="Y23" s="37">
        <f>IF($H23&gt;(11.99*Y$5),(IF(OR(I23="Interest Only",I23="P&amp;I Payments"),K23,0)),0)</f>
        <v>0</v>
      </c>
      <c r="Z23" s="37">
        <f>IF($H23&gt;(11.99*Z$5),(IF(OR(I23="Interest Only",I23="P&amp;I Payments"),K23,0)),0)</f>
        <v>0</v>
      </c>
      <c r="AA23" s="37">
        <f>IF($H23&gt;(11.99*AA$5),(IF(OR(I23="Interest Only",I23="P&amp;I Payments"),K23,0)),0)</f>
        <v>0</v>
      </c>
      <c r="AB23" s="37">
        <f>IF($H23&gt;(11.99*AB$5),(IF(OR(I23="Interest Only",I23="P&amp;I Payments"),K23,0)),0)</f>
        <v>0</v>
      </c>
      <c r="AC23" s="37">
        <f>IF($H23&gt;(11.99*AC$5),(IF(OR(I23="Interest Only",I23="P&amp;I Payments"),K23,0)),0)</f>
        <v>0</v>
      </c>
      <c r="AD23" s="37">
        <f>IF($H23&gt;(11.99*AD$5),(IF(OR(I23="Interest Only",I23="P&amp;I Payments"),K23,0)),0)</f>
        <v>0</v>
      </c>
      <c r="AE23" s="37">
        <f>IF($H23&gt;(11.99*AE$5),(IF(OR(I23="Interest Only",I23="P&amp;I Payments"),K23,0)),0)</f>
        <v>0</v>
      </c>
      <c r="AF23" s="37">
        <f>IF($H23&gt;(11.99*AF$5),(IF(OR(I23="Interest Only",I23="P&amp;I Payments"),K23,0)),0)</f>
        <v>0</v>
      </c>
      <c r="AG23" s="37">
        <f>IF($H23&gt;(11.99*AG$5),(IF(OR(I23="Interest Only",I23="P&amp;I Payments"),K23,0)),0)</f>
        <v>0</v>
      </c>
      <c r="AH23" s="37">
        <f>IF($H23&gt;(11.99*AH$5),(IF(OR(I23="Interest Only",I23="P&amp;I Payments"),K23,0)),0)</f>
        <v>0</v>
      </c>
      <c r="AI23" s="37">
        <f>IF($H23&gt;(11.99*AI$5),(IF(OR(I23="Interest Only",I23="P&amp;I Payments"),K23,0)),0)</f>
        <v>0</v>
      </c>
      <c r="AJ23" s="37">
        <f>IF($H23&gt;(11.99*AJ$5),(IF(OR(I23="Interest Only",I23="P&amp;I Payments"),K23,0)),0)</f>
        <v>0</v>
      </c>
      <c r="AK23" s="37">
        <f>IF($H23&gt;(11.99*AK$5),(IF(OR(I23="Interest Only",I23="P&amp;I Payments"),K23,0)),0)</f>
        <v>0</v>
      </c>
    </row>
    <row r="24" spans="1:44" ht="19.5" customHeight="1" x14ac:dyDescent="0.2">
      <c r="A24" s="756"/>
      <c r="B24" s="757"/>
      <c r="C24" s="65"/>
      <c r="D24" s="66"/>
      <c r="E24" s="53"/>
      <c r="F24" s="54"/>
      <c r="G24" s="62"/>
      <c r="H24" s="685"/>
      <c r="I24" s="56"/>
      <c r="J24" s="64"/>
      <c r="K24" s="46" t="str">
        <f t="shared" si="34"/>
        <v/>
      </c>
      <c r="L24" s="767" t="e">
        <f t="shared" ref="L24:L25" si="35">IF(ABS(O24-100%)&gt;2.5%,"Error, 'PMT' Does Not Equal 'Terms' ","")</f>
        <v>#NUM!</v>
      </c>
      <c r="M24" s="768"/>
      <c r="N24" s="34" t="e">
        <f t="shared" ref="N24:N25" si="36">ROUND(IF(I24="Interest Only",(D24*E24)/12,PMT(E24/12,G24,D24)*-1),2)</f>
        <v>#NUM!</v>
      </c>
      <c r="O24" s="35" t="e">
        <f t="shared" ref="O24:O25" si="37">N24/J24</f>
        <v>#NUM!</v>
      </c>
      <c r="W24" s="37">
        <f t="shared" ref="W24:W25" si="38">IF(H24&gt;11.9,IF(OR(I24="Interest Only",I24="P&amp;I Payments"),K24,0),0)</f>
        <v>0</v>
      </c>
      <c r="X24" s="37">
        <f t="shared" ref="X24:X25" si="39">IF($H24&gt;(11.99*X$5),(IF(OR(I24="Interest Only",I24="P&amp;I Payments"),K24,0)),0)</f>
        <v>0</v>
      </c>
      <c r="Y24" s="37">
        <f t="shared" ref="Y24:Y25" si="40">IF($H24&gt;(11.99*Y$5),(IF(OR(I24="Interest Only",I24="P&amp;I Payments"),K24,0)),0)</f>
        <v>0</v>
      </c>
      <c r="Z24" s="37">
        <f t="shared" ref="Z24:Z25" si="41">IF($H24&gt;(11.99*Z$5),(IF(OR(I24="Interest Only",I24="P&amp;I Payments"),K24,0)),0)</f>
        <v>0</v>
      </c>
      <c r="AA24" s="37">
        <f t="shared" ref="AA24:AA25" si="42">IF($H24&gt;(11.99*AA$5),(IF(OR(I24="Interest Only",I24="P&amp;I Payments"),K24,0)),0)</f>
        <v>0</v>
      </c>
      <c r="AB24" s="37">
        <f t="shared" ref="AB24:AB25" si="43">IF($H24&gt;(11.99*AB$5),(IF(OR(I24="Interest Only",I24="P&amp;I Payments"),K24,0)),0)</f>
        <v>0</v>
      </c>
      <c r="AC24" s="37">
        <f t="shared" ref="AC24:AC25" si="44">IF($H24&gt;(11.99*AC$5),(IF(OR(I24="Interest Only",I24="P&amp;I Payments"),K24,0)),0)</f>
        <v>0</v>
      </c>
      <c r="AD24" s="37">
        <f t="shared" ref="AD24:AD25" si="45">IF($H24&gt;(11.99*AD$5),(IF(OR(I24="Interest Only",I24="P&amp;I Payments"),K24,0)),0)</f>
        <v>0</v>
      </c>
      <c r="AE24" s="37">
        <f t="shared" ref="AE24:AE25" si="46">IF($H24&gt;(11.99*AE$5),(IF(OR(I24="Interest Only",I24="P&amp;I Payments"),K24,0)),0)</f>
        <v>0</v>
      </c>
      <c r="AF24" s="37">
        <f t="shared" ref="AF24:AF25" si="47">IF($H24&gt;(11.99*AF$5),(IF(OR(I24="Interest Only",I24="P&amp;I Payments"),K24,0)),0)</f>
        <v>0</v>
      </c>
      <c r="AG24" s="37">
        <f t="shared" ref="AG24:AG25" si="48">IF($H24&gt;(11.99*AG$5),(IF(OR(I24="Interest Only",I24="P&amp;I Payments"),K24,0)),0)</f>
        <v>0</v>
      </c>
      <c r="AH24" s="37">
        <f t="shared" ref="AH24:AH25" si="49">IF($H24&gt;(11.99*AH$5),(IF(OR(I24="Interest Only",I24="P&amp;I Payments"),K24,0)),0)</f>
        <v>0</v>
      </c>
      <c r="AI24" s="37">
        <f t="shared" ref="AI24:AI25" si="50">IF($H24&gt;(11.99*AI$5),(IF(OR(I24="Interest Only",I24="P&amp;I Payments"),K24,0)),0)</f>
        <v>0</v>
      </c>
      <c r="AJ24" s="37">
        <f t="shared" ref="AJ24:AJ25" si="51">IF($H24&gt;(11.99*AJ$5),(IF(OR(I24="Interest Only",I24="P&amp;I Payments"),K24,0)),0)</f>
        <v>0</v>
      </c>
      <c r="AK24" s="37">
        <f t="shared" ref="AK24:AK25" si="52">IF($H24&gt;(11.99*AK$5),(IF(OR(I24="Interest Only",I24="P&amp;I Payments"),K24,0)),0)</f>
        <v>0</v>
      </c>
    </row>
    <row r="25" spans="1:44" ht="19.5" customHeight="1" thickBot="1" x14ac:dyDescent="0.25">
      <c r="A25" s="769"/>
      <c r="B25" s="770"/>
      <c r="C25" s="533"/>
      <c r="D25" s="534"/>
      <c r="E25" s="535"/>
      <c r="F25" s="536"/>
      <c r="G25" s="68"/>
      <c r="H25" s="686"/>
      <c r="I25" s="538"/>
      <c r="J25" s="539"/>
      <c r="K25" s="540" t="str">
        <f t="shared" si="34"/>
        <v/>
      </c>
      <c r="L25" s="767" t="e">
        <f t="shared" si="35"/>
        <v>#NUM!</v>
      </c>
      <c r="M25" s="768"/>
      <c r="N25" s="34" t="e">
        <f t="shared" si="36"/>
        <v>#NUM!</v>
      </c>
      <c r="O25" s="35" t="e">
        <f t="shared" si="37"/>
        <v>#NUM!</v>
      </c>
      <c r="S25" s="1"/>
      <c r="W25" s="37">
        <f t="shared" si="38"/>
        <v>0</v>
      </c>
      <c r="X25" s="37">
        <f t="shared" si="39"/>
        <v>0</v>
      </c>
      <c r="Y25" s="37">
        <f t="shared" si="40"/>
        <v>0</v>
      </c>
      <c r="Z25" s="37">
        <f t="shared" si="41"/>
        <v>0</v>
      </c>
      <c r="AA25" s="37">
        <f t="shared" si="42"/>
        <v>0</v>
      </c>
      <c r="AB25" s="37">
        <f t="shared" si="43"/>
        <v>0</v>
      </c>
      <c r="AC25" s="37">
        <f t="shared" si="44"/>
        <v>0</v>
      </c>
      <c r="AD25" s="37">
        <f t="shared" si="45"/>
        <v>0</v>
      </c>
      <c r="AE25" s="37">
        <f t="shared" si="46"/>
        <v>0</v>
      </c>
      <c r="AF25" s="37">
        <f t="shared" si="47"/>
        <v>0</v>
      </c>
      <c r="AG25" s="37">
        <f t="shared" si="48"/>
        <v>0</v>
      </c>
      <c r="AH25" s="37">
        <f t="shared" si="49"/>
        <v>0</v>
      </c>
      <c r="AI25" s="37">
        <f t="shared" si="50"/>
        <v>0</v>
      </c>
      <c r="AJ25" s="37">
        <f t="shared" si="51"/>
        <v>0</v>
      </c>
      <c r="AK25" s="37">
        <f t="shared" si="52"/>
        <v>0</v>
      </c>
    </row>
    <row r="26" spans="1:44" ht="21.75" customHeight="1" thickBot="1" x14ac:dyDescent="0.25">
      <c r="A26" s="541" t="s">
        <v>1508</v>
      </c>
      <c r="B26" s="542"/>
      <c r="C26" s="96"/>
      <c r="D26" s="543">
        <f>ROUND(SUM(D23:D25),0)</f>
        <v>0</v>
      </c>
      <c r="E26" s="544"/>
      <c r="F26" s="545"/>
      <c r="G26" s="96"/>
      <c r="H26" s="599"/>
      <c r="I26" s="96"/>
      <c r="J26" s="546">
        <f>SUM(J23:J25)</f>
        <v>0</v>
      </c>
      <c r="K26" s="547">
        <f>IF(OR(I23="Interest Only",I23="P&amp;I Payments"),K23,0)+IF(OR(I24="Interest Only",I24="P&amp;I Payments"),K24,0)+IF(OR(I25="Interest Only",I25="P&amp;I Payments"),K25,0)</f>
        <v>0</v>
      </c>
      <c r="L26" s="777"/>
      <c r="M26" s="778"/>
      <c r="N26" s="600"/>
      <c r="O26" s="601"/>
      <c r="S26" s="1"/>
      <c r="T26" s="754" t="s">
        <v>1283</v>
      </c>
      <c r="U26" s="754"/>
      <c r="V26" s="754"/>
      <c r="W26" s="37">
        <f>SUM(W23:W25)</f>
        <v>0</v>
      </c>
      <c r="X26" s="37">
        <f t="shared" ref="X26:AK26" si="53">SUM(X23:X25)</f>
        <v>0</v>
      </c>
      <c r="Y26" s="37">
        <f t="shared" si="53"/>
        <v>0</v>
      </c>
      <c r="Z26" s="37">
        <f t="shared" si="53"/>
        <v>0</v>
      </c>
      <c r="AA26" s="37">
        <f t="shared" si="53"/>
        <v>0</v>
      </c>
      <c r="AB26" s="37">
        <f t="shared" si="53"/>
        <v>0</v>
      </c>
      <c r="AC26" s="37">
        <f t="shared" si="53"/>
        <v>0</v>
      </c>
      <c r="AD26" s="37">
        <f t="shared" si="53"/>
        <v>0</v>
      </c>
      <c r="AE26" s="37">
        <f t="shared" si="53"/>
        <v>0</v>
      </c>
      <c r="AF26" s="37">
        <f t="shared" si="53"/>
        <v>0</v>
      </c>
      <c r="AG26" s="37">
        <f t="shared" si="53"/>
        <v>0</v>
      </c>
      <c r="AH26" s="37">
        <f t="shared" si="53"/>
        <v>0</v>
      </c>
      <c r="AI26" s="37">
        <f t="shared" si="53"/>
        <v>0</v>
      </c>
      <c r="AJ26" s="37">
        <f t="shared" si="53"/>
        <v>0</v>
      </c>
      <c r="AK26" s="37">
        <f t="shared" si="53"/>
        <v>0</v>
      </c>
    </row>
    <row r="27" spans="1:44" ht="21" customHeight="1" thickBot="1" x14ac:dyDescent="0.25">
      <c r="A27" s="560"/>
      <c r="B27" s="560"/>
      <c r="C27" s="561"/>
      <c r="D27" s="562"/>
      <c r="E27" s="563"/>
      <c r="F27" s="564"/>
      <c r="G27" s="561"/>
      <c r="H27" s="565"/>
      <c r="I27" s="561"/>
      <c r="J27" s="565"/>
      <c r="K27" s="562"/>
      <c r="L27" s="566"/>
      <c r="M27" s="566"/>
      <c r="N27" s="567"/>
      <c r="O27" s="568"/>
      <c r="S27" s="1"/>
    </row>
    <row r="28" spans="1:44" ht="53.25" customHeight="1" thickBot="1" x14ac:dyDescent="0.25">
      <c r="A28" s="760" t="s">
        <v>92</v>
      </c>
      <c r="B28" s="761"/>
      <c r="C28" s="606" t="s">
        <v>95</v>
      </c>
      <c r="D28" s="606" t="s">
        <v>41</v>
      </c>
      <c r="E28" s="606" t="s">
        <v>42</v>
      </c>
      <c r="F28" s="681" t="s">
        <v>90</v>
      </c>
      <c r="G28" s="681" t="s">
        <v>96</v>
      </c>
      <c r="H28" s="606" t="s">
        <v>532</v>
      </c>
      <c r="I28" s="681" t="s">
        <v>549</v>
      </c>
      <c r="J28" s="681" t="s">
        <v>555</v>
      </c>
      <c r="K28" s="682" t="s">
        <v>91</v>
      </c>
      <c r="L28" s="762" t="s">
        <v>467</v>
      </c>
      <c r="M28" s="763"/>
      <c r="N28" s="681" t="s">
        <v>113</v>
      </c>
      <c r="O28" s="682" t="s">
        <v>1191</v>
      </c>
      <c r="S28" s="1"/>
    </row>
    <row r="29" spans="1:44" ht="17.25" customHeight="1" x14ac:dyDescent="0.2">
      <c r="A29" s="764" t="s">
        <v>44</v>
      </c>
      <c r="B29" s="765"/>
      <c r="C29" s="642"/>
      <c r="D29" s="643" t="str">
        <f>IF(OR(D5="",D5="Identify Type of AHP Funds Requested on the Project Information Tab.",D5="Enter Planned AHP Award Use on Development Budget Worksheet"),"",D5)</f>
        <v/>
      </c>
      <c r="E29" s="40"/>
      <c r="F29" s="644"/>
      <c r="G29" s="645"/>
      <c r="H29" s="43"/>
      <c r="I29" s="646"/>
      <c r="J29" s="647"/>
      <c r="K29" s="550"/>
      <c r="L29" s="758"/>
      <c r="M29" s="759"/>
      <c r="N29" s="551"/>
      <c r="O29" s="552"/>
      <c r="S29" s="1"/>
    </row>
    <row r="30" spans="1:44" ht="17.25" customHeight="1" x14ac:dyDescent="0.2">
      <c r="A30" s="766" t="s">
        <v>45</v>
      </c>
      <c r="B30" s="707"/>
      <c r="C30" s="642"/>
      <c r="D30" s="648" t="str">
        <f>IF(OR(D6="",D6="Identify Type of AHP Funds Requested on the Project Information Tab.",D6="Enter Planned AHP Award Use on Development Budget Worksheet"),"",D6)</f>
        <v/>
      </c>
      <c r="E30" s="40"/>
      <c r="F30" s="644"/>
      <c r="G30" s="645"/>
      <c r="H30" s="43"/>
      <c r="I30" s="646"/>
      <c r="J30" s="647"/>
      <c r="K30" s="550"/>
      <c r="L30" s="758"/>
      <c r="M30" s="759"/>
      <c r="N30" s="551"/>
      <c r="O30" s="552"/>
      <c r="S30" s="1"/>
      <c r="T30" s="1" t="s">
        <v>1541</v>
      </c>
    </row>
    <row r="31" spans="1:44" ht="17.25" customHeight="1" x14ac:dyDescent="0.2">
      <c r="A31" s="95" t="s">
        <v>1499</v>
      </c>
      <c r="B31" s="489"/>
      <c r="C31" s="642" t="s">
        <v>554</v>
      </c>
      <c r="D31" s="66"/>
      <c r="E31" s="53"/>
      <c r="F31" s="644"/>
      <c r="G31" s="645"/>
      <c r="H31" s="63"/>
      <c r="I31" s="646"/>
      <c r="J31" s="647"/>
      <c r="K31" s="550"/>
      <c r="L31" s="758"/>
      <c r="M31" s="759"/>
      <c r="N31" s="551"/>
      <c r="O31" s="552"/>
      <c r="S31" s="1"/>
      <c r="T31" s="49">
        <f t="shared" ref="T31:T38" si="54">IF(AND(D31&gt;0,C31="Loan"),H31/D31,0)</f>
        <v>0</v>
      </c>
      <c r="U31" s="50">
        <f t="shared" ref="U31:U38" si="55">H31</f>
        <v>0</v>
      </c>
    </row>
    <row r="32" spans="1:44" ht="17.25" customHeight="1" x14ac:dyDescent="0.2">
      <c r="A32" s="756"/>
      <c r="B32" s="757"/>
      <c r="C32" s="65"/>
      <c r="D32" s="66"/>
      <c r="E32" s="53"/>
      <c r="F32" s="644"/>
      <c r="G32" s="645"/>
      <c r="H32" s="63"/>
      <c r="I32" s="646"/>
      <c r="J32" s="647"/>
      <c r="K32" s="550"/>
      <c r="L32" s="758"/>
      <c r="M32" s="759"/>
      <c r="N32" s="551"/>
      <c r="O32" s="552"/>
      <c r="S32" s="1"/>
      <c r="T32" s="49">
        <f t="shared" si="54"/>
        <v>0</v>
      </c>
      <c r="U32" s="50">
        <f t="shared" si="55"/>
        <v>0</v>
      </c>
    </row>
    <row r="33" spans="1:22" ht="19.5" customHeight="1" x14ac:dyDescent="0.2">
      <c r="A33" s="756"/>
      <c r="B33" s="757"/>
      <c r="C33" s="65"/>
      <c r="D33" s="66"/>
      <c r="E33" s="53"/>
      <c r="F33" s="644"/>
      <c r="G33" s="645"/>
      <c r="H33" s="63"/>
      <c r="I33" s="646"/>
      <c r="J33" s="647"/>
      <c r="K33" s="550"/>
      <c r="L33" s="758"/>
      <c r="M33" s="759"/>
      <c r="N33" s="551"/>
      <c r="O33" s="552"/>
      <c r="S33" s="1"/>
      <c r="T33" s="49">
        <f t="shared" si="54"/>
        <v>0</v>
      </c>
      <c r="U33" s="50">
        <f t="shared" si="55"/>
        <v>0</v>
      </c>
    </row>
    <row r="34" spans="1:22" ht="20.25" customHeight="1" x14ac:dyDescent="0.2">
      <c r="A34" s="756"/>
      <c r="B34" s="757"/>
      <c r="C34" s="65"/>
      <c r="D34" s="66"/>
      <c r="E34" s="53"/>
      <c r="F34" s="644"/>
      <c r="G34" s="645"/>
      <c r="H34" s="63"/>
      <c r="I34" s="646"/>
      <c r="J34" s="647"/>
      <c r="K34" s="550"/>
      <c r="L34" s="758"/>
      <c r="M34" s="759"/>
      <c r="N34" s="551"/>
      <c r="O34" s="552"/>
      <c r="S34" s="1"/>
      <c r="T34" s="49">
        <f t="shared" si="54"/>
        <v>0</v>
      </c>
      <c r="U34" s="50">
        <f t="shared" si="55"/>
        <v>0</v>
      </c>
    </row>
    <row r="35" spans="1:22" ht="21" customHeight="1" x14ac:dyDescent="0.2">
      <c r="A35" s="756"/>
      <c r="B35" s="757"/>
      <c r="C35" s="65"/>
      <c r="D35" s="66"/>
      <c r="E35" s="53"/>
      <c r="F35" s="644"/>
      <c r="G35" s="645"/>
      <c r="H35" s="63"/>
      <c r="I35" s="646"/>
      <c r="J35" s="647"/>
      <c r="K35" s="550"/>
      <c r="L35" s="758"/>
      <c r="M35" s="759"/>
      <c r="N35" s="551"/>
      <c r="O35" s="552"/>
      <c r="S35" s="1"/>
      <c r="T35" s="49">
        <f t="shared" si="54"/>
        <v>0</v>
      </c>
      <c r="U35" s="50">
        <f t="shared" si="55"/>
        <v>0</v>
      </c>
    </row>
    <row r="36" spans="1:22" ht="17.25" customHeight="1" x14ac:dyDescent="0.2">
      <c r="A36" s="756"/>
      <c r="B36" s="757"/>
      <c r="C36" s="65"/>
      <c r="D36" s="66"/>
      <c r="E36" s="53"/>
      <c r="F36" s="644"/>
      <c r="G36" s="645"/>
      <c r="H36" s="63"/>
      <c r="I36" s="646"/>
      <c r="J36" s="647"/>
      <c r="K36" s="550"/>
      <c r="L36" s="758"/>
      <c r="M36" s="759"/>
      <c r="N36" s="551"/>
      <c r="O36" s="552"/>
      <c r="S36" s="1"/>
      <c r="T36" s="49">
        <f t="shared" si="54"/>
        <v>0</v>
      </c>
      <c r="U36" s="50">
        <f t="shared" si="55"/>
        <v>0</v>
      </c>
    </row>
    <row r="37" spans="1:22" ht="17.25" customHeight="1" x14ac:dyDescent="0.2">
      <c r="A37" s="756"/>
      <c r="B37" s="757"/>
      <c r="C37" s="65"/>
      <c r="D37" s="66"/>
      <c r="E37" s="53"/>
      <c r="F37" s="644"/>
      <c r="G37" s="645"/>
      <c r="H37" s="63"/>
      <c r="I37" s="646"/>
      <c r="J37" s="647"/>
      <c r="K37" s="550"/>
      <c r="L37" s="758"/>
      <c r="M37" s="759"/>
      <c r="N37" s="551"/>
      <c r="O37" s="552"/>
      <c r="S37" s="1"/>
      <c r="T37" s="49">
        <f t="shared" si="54"/>
        <v>0</v>
      </c>
      <c r="U37" s="50">
        <f t="shared" si="55"/>
        <v>0</v>
      </c>
    </row>
    <row r="38" spans="1:22" ht="21" customHeight="1" thickBot="1" x14ac:dyDescent="0.25">
      <c r="A38" s="769"/>
      <c r="B38" s="770"/>
      <c r="C38" s="533"/>
      <c r="D38" s="534"/>
      <c r="E38" s="535"/>
      <c r="F38" s="649"/>
      <c r="G38" s="650"/>
      <c r="H38" s="537"/>
      <c r="I38" s="651"/>
      <c r="J38" s="652"/>
      <c r="K38" s="553"/>
      <c r="L38" s="771"/>
      <c r="M38" s="772"/>
      <c r="N38" s="554"/>
      <c r="O38" s="555"/>
      <c r="S38" s="1"/>
      <c r="T38" s="49">
        <f t="shared" si="54"/>
        <v>0</v>
      </c>
      <c r="U38" s="50">
        <f t="shared" si="55"/>
        <v>0</v>
      </c>
    </row>
    <row r="39" spans="1:22" ht="24" customHeight="1" thickBot="1" x14ac:dyDescent="0.25">
      <c r="A39" s="775" t="s">
        <v>519</v>
      </c>
      <c r="B39" s="776"/>
      <c r="C39" s="96"/>
      <c r="D39" s="543">
        <f>ROUND(SUM(D29:D38),0)</f>
        <v>0</v>
      </c>
      <c r="E39" s="544"/>
      <c r="F39" s="548"/>
      <c r="G39" s="549"/>
      <c r="H39" s="546">
        <f>SUM(H29:H38)</f>
        <v>0</v>
      </c>
      <c r="I39" s="549"/>
      <c r="J39" s="556"/>
      <c r="K39" s="557"/>
      <c r="L39" s="773"/>
      <c r="M39" s="774"/>
      <c r="N39" s="558"/>
      <c r="O39" s="559"/>
      <c r="S39" s="1"/>
      <c r="V39" s="80"/>
    </row>
    <row r="40" spans="1:22" x14ac:dyDescent="0.2">
      <c r="A40" s="92"/>
      <c r="B40" s="683" t="e">
        <f>D39/('Development Budget Worksheet'!C14+'Development Budget Worksheet'!C27+'Development Budget Worksheet'!C42+'Development Budget Worksheet'!C53+'Development Budget Worksheet'!C69)</f>
        <v>#DIV/0!</v>
      </c>
      <c r="C40" s="571"/>
      <c r="H40" s="571" t="str">
        <f>IF(H39&lt;&gt;K40,"Loan Fees do not match Development Budget","")</f>
        <v/>
      </c>
      <c r="J40" s="2"/>
      <c r="K40" s="19">
        <f>'Development Budget Worksheet'!C61</f>
        <v>0</v>
      </c>
      <c r="L40" s="653"/>
      <c r="M40" s="93"/>
      <c r="S40" s="1"/>
    </row>
    <row r="41" spans="1:22" x14ac:dyDescent="0.2">
      <c r="S41" s="1"/>
    </row>
    <row r="42" spans="1:22" ht="13.5" thickBot="1" x14ac:dyDescent="0.25">
      <c r="A42" s="97" t="s">
        <v>1196</v>
      </c>
      <c r="J42" s="91"/>
    </row>
    <row r="43" spans="1:22" x14ac:dyDescent="0.2">
      <c r="A43" s="793"/>
      <c r="B43" s="794"/>
      <c r="C43" s="794"/>
      <c r="D43" s="794"/>
      <c r="E43" s="794"/>
      <c r="F43" s="794"/>
      <c r="G43" s="794"/>
      <c r="H43" s="794"/>
      <c r="I43" s="794"/>
      <c r="J43" s="794"/>
      <c r="K43" s="794"/>
      <c r="L43" s="794"/>
      <c r="M43" s="794"/>
      <c r="N43" s="794"/>
      <c r="O43" s="795"/>
    </row>
    <row r="44" spans="1:22" x14ac:dyDescent="0.2">
      <c r="A44" s="796"/>
      <c r="B44" s="797"/>
      <c r="C44" s="797"/>
      <c r="D44" s="797"/>
      <c r="E44" s="797"/>
      <c r="F44" s="797"/>
      <c r="G44" s="797"/>
      <c r="H44" s="797"/>
      <c r="I44" s="797"/>
      <c r="J44" s="797"/>
      <c r="K44" s="797"/>
      <c r="L44" s="797"/>
      <c r="M44" s="797"/>
      <c r="N44" s="797"/>
      <c r="O44" s="798"/>
    </row>
    <row r="45" spans="1:22" x14ac:dyDescent="0.2">
      <c r="A45" s="796"/>
      <c r="B45" s="797"/>
      <c r="C45" s="797"/>
      <c r="D45" s="797"/>
      <c r="E45" s="797"/>
      <c r="F45" s="797"/>
      <c r="G45" s="797"/>
      <c r="H45" s="797"/>
      <c r="I45" s="797"/>
      <c r="J45" s="797"/>
      <c r="K45" s="797"/>
      <c r="L45" s="797"/>
      <c r="M45" s="797"/>
      <c r="N45" s="797"/>
      <c r="O45" s="798"/>
    </row>
    <row r="46" spans="1:22" x14ac:dyDescent="0.2">
      <c r="A46" s="796"/>
      <c r="B46" s="797"/>
      <c r="C46" s="797"/>
      <c r="D46" s="797"/>
      <c r="E46" s="797"/>
      <c r="F46" s="797"/>
      <c r="G46" s="797"/>
      <c r="H46" s="797"/>
      <c r="I46" s="797"/>
      <c r="J46" s="797"/>
      <c r="K46" s="797"/>
      <c r="L46" s="797"/>
      <c r="M46" s="797"/>
      <c r="N46" s="797"/>
      <c r="O46" s="798"/>
    </row>
    <row r="47" spans="1:22" ht="13.5" thickBot="1" x14ac:dyDescent="0.25">
      <c r="A47" s="799"/>
      <c r="B47" s="800"/>
      <c r="C47" s="800"/>
      <c r="D47" s="800"/>
      <c r="E47" s="800"/>
      <c r="F47" s="800"/>
      <c r="G47" s="800"/>
      <c r="H47" s="800"/>
      <c r="I47" s="800"/>
      <c r="J47" s="800"/>
      <c r="K47" s="800"/>
      <c r="L47" s="800"/>
      <c r="M47" s="800"/>
      <c r="N47" s="800"/>
      <c r="O47" s="801"/>
    </row>
    <row r="48" spans="1:22" x14ac:dyDescent="0.2">
      <c r="D48" s="145"/>
      <c r="K48" s="1"/>
      <c r="L48" s="145"/>
    </row>
    <row r="50" spans="1:7" ht="13.5" hidden="1" thickBot="1" x14ac:dyDescent="0.25">
      <c r="A50" s="802" t="s">
        <v>468</v>
      </c>
      <c r="B50" s="803"/>
      <c r="C50" s="804"/>
      <c r="D50" s="94">
        <f>SUMIF(J7:J19,"&gt;0",D7:D19) + SUMIF(J23:J25,"&gt;0",D23:D25)</f>
        <v>0</v>
      </c>
    </row>
    <row r="57" spans="1:7" x14ac:dyDescent="0.2">
      <c r="F57" s="98"/>
      <c r="G57" s="98"/>
    </row>
  </sheetData>
  <sheetProtection algorithmName="SHA-512" hashValue="UTTSTEHV3RElbGvYE011uKPt6b2LoivCiSfQmjn2Qoi8O95PIJpkBbGmJwZRv5YmyAgvh/eh+uB80bhA+J3naQ==" saltValue="azaNoZgPOYHdvAZcqnL1VQ=="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7">
    <mergeCell ref="A43:O47"/>
    <mergeCell ref="A50:C50"/>
    <mergeCell ref="T21:V21"/>
    <mergeCell ref="T22:V22"/>
    <mergeCell ref="A12:B12"/>
    <mergeCell ref="A13:B13"/>
    <mergeCell ref="A14:B14"/>
    <mergeCell ref="A15:B15"/>
    <mergeCell ref="A16:B16"/>
    <mergeCell ref="A17:B17"/>
    <mergeCell ref="A18:B18"/>
    <mergeCell ref="A19:B19"/>
    <mergeCell ref="T20:V20"/>
    <mergeCell ref="L16:M16"/>
    <mergeCell ref="L17:M17"/>
    <mergeCell ref="L14:M14"/>
    <mergeCell ref="A4:B4"/>
    <mergeCell ref="L4:M4"/>
    <mergeCell ref="L5:M5"/>
    <mergeCell ref="L19:M19"/>
    <mergeCell ref="L20:M20"/>
    <mergeCell ref="L9:M9"/>
    <mergeCell ref="A22:B22"/>
    <mergeCell ref="L22:M22"/>
    <mergeCell ref="A23:B23"/>
    <mergeCell ref="L6:M6"/>
    <mergeCell ref="L7:M7"/>
    <mergeCell ref="L8:M8"/>
    <mergeCell ref="L18:M18"/>
    <mergeCell ref="L23:M23"/>
    <mergeCell ref="L25:M25"/>
    <mergeCell ref="L26:M26"/>
    <mergeCell ref="L10:M10"/>
    <mergeCell ref="L11:M11"/>
    <mergeCell ref="L12:M12"/>
    <mergeCell ref="L13:M13"/>
    <mergeCell ref="L15:M15"/>
    <mergeCell ref="A38:B38"/>
    <mergeCell ref="L38:M38"/>
    <mergeCell ref="L39:M39"/>
    <mergeCell ref="A39:B39"/>
    <mergeCell ref="A36:B36"/>
    <mergeCell ref="L36:M36"/>
    <mergeCell ref="A37:B37"/>
    <mergeCell ref="L37:M37"/>
    <mergeCell ref="A35:B35"/>
    <mergeCell ref="L35:M35"/>
    <mergeCell ref="A32:B32"/>
    <mergeCell ref="L32:M32"/>
    <mergeCell ref="A33:B33"/>
    <mergeCell ref="L33:M33"/>
    <mergeCell ref="A1:O1"/>
    <mergeCell ref="A2:O2"/>
    <mergeCell ref="T26:V26"/>
    <mergeCell ref="T23:V23"/>
    <mergeCell ref="A34:B34"/>
    <mergeCell ref="L34:M34"/>
    <mergeCell ref="A28:B28"/>
    <mergeCell ref="L28:M28"/>
    <mergeCell ref="A29:B29"/>
    <mergeCell ref="L29:M29"/>
    <mergeCell ref="A30:B30"/>
    <mergeCell ref="L30:M30"/>
    <mergeCell ref="L31:M31"/>
    <mergeCell ref="A24:B24"/>
    <mergeCell ref="L24:M24"/>
    <mergeCell ref="A25:B25"/>
  </mergeCells>
  <conditionalFormatting sqref="B7">
    <cfRule type="expression" dxfId="80" priority="417" stopIfTrue="1">
      <formula>AND(B7="",$D7&lt;&gt;"")</formula>
    </cfRule>
    <cfRule type="expression" dxfId="79" priority="416">
      <formula>AND($D$7&gt;0,$B$7="")</formula>
    </cfRule>
  </conditionalFormatting>
  <conditionalFormatting sqref="C11">
    <cfRule type="expression" dxfId="78" priority="28">
      <formula>AND($D$11&lt;&gt;"",$C$11="")</formula>
    </cfRule>
  </conditionalFormatting>
  <conditionalFormatting sqref="C12">
    <cfRule type="expression" dxfId="77" priority="36">
      <formula>AND($A$12&lt;&gt;"",$C$12="")</formula>
    </cfRule>
  </conditionalFormatting>
  <conditionalFormatting sqref="C13">
    <cfRule type="expression" dxfId="76" priority="35">
      <formula>AND($A$13&lt;&gt;"",$C$13="")</formula>
    </cfRule>
  </conditionalFormatting>
  <conditionalFormatting sqref="C14">
    <cfRule type="expression" dxfId="75" priority="34">
      <formula>AND($A$14&lt;&gt;"",$C$14="")</formula>
    </cfRule>
  </conditionalFormatting>
  <conditionalFormatting sqref="C15">
    <cfRule type="expression" dxfId="74" priority="33">
      <formula>AND($A$15&lt;&gt;"",$C$15="")</formula>
    </cfRule>
  </conditionalFormatting>
  <conditionalFormatting sqref="C16">
    <cfRule type="expression" dxfId="73" priority="32">
      <formula>AND($A$16&lt;&gt;"",$C$16="")</formula>
    </cfRule>
  </conditionalFormatting>
  <conditionalFormatting sqref="C17">
    <cfRule type="expression" dxfId="72" priority="31">
      <formula>AND($A$17&lt;&gt;"",$C$17="")</formula>
    </cfRule>
  </conditionalFormatting>
  <conditionalFormatting sqref="C18">
    <cfRule type="expression" dxfId="71" priority="30">
      <formula>AND($A$18&lt;&gt;"",$C$18="")</formula>
    </cfRule>
  </conditionalFormatting>
  <conditionalFormatting sqref="C19">
    <cfRule type="expression" dxfId="70" priority="29">
      <formula>AND($A$19&lt;&gt;"",$C$19="")</formula>
    </cfRule>
  </conditionalFormatting>
  <conditionalFormatting sqref="C40">
    <cfRule type="notContainsBlanks" dxfId="69" priority="85">
      <formula>LEN(TRIM(C40))&gt;0</formula>
    </cfRule>
  </conditionalFormatting>
  <conditionalFormatting sqref="D3">
    <cfRule type="expression" dxfId="68" priority="420">
      <formula>($D$5/#REF!)&gt;30000</formula>
    </cfRule>
    <cfRule type="expression" dxfId="67" priority="421">
      <formula>($D$6/#REF!)&gt;30000</formula>
    </cfRule>
  </conditionalFormatting>
  <conditionalFormatting sqref="D5">
    <cfRule type="expression" dxfId="66" priority="422">
      <formula>$D$5/#REF!&gt;75000</formula>
    </cfRule>
  </conditionalFormatting>
  <conditionalFormatting sqref="D5:D6">
    <cfRule type="cellIs" dxfId="65" priority="48" operator="greaterThan">
      <formula>1500000</formula>
    </cfRule>
  </conditionalFormatting>
  <conditionalFormatting sqref="D6">
    <cfRule type="expression" dxfId="64" priority="423">
      <formula>($D$6/#REF!)&gt;75000</formula>
    </cfRule>
  </conditionalFormatting>
  <conditionalFormatting sqref="I7">
    <cfRule type="expression" dxfId="61" priority="44">
      <formula>AND($D$7&gt;0,$I$7="")</formula>
    </cfRule>
  </conditionalFormatting>
  <conditionalFormatting sqref="I11:I19">
    <cfRule type="expression" dxfId="60" priority="42">
      <formula>AND(C11="Loan",D11&gt;0,I11="")</formula>
    </cfRule>
  </conditionalFormatting>
  <conditionalFormatting sqref="I23:I25">
    <cfRule type="expression" dxfId="59" priority="23">
      <formula>AND(C23="Loan",D23&gt;0,I23="")</formula>
    </cfRule>
  </conditionalFormatting>
  <conditionalFormatting sqref="J7">
    <cfRule type="cellIs" priority="72" stopIfTrue="1" operator="greaterThan">
      <formula>0</formula>
    </cfRule>
    <cfRule type="expression" dxfId="58" priority="73">
      <formula>AND(D7&gt;0,OR($I$7="P&amp;I Payments",I7="Interest Only"))</formula>
    </cfRule>
  </conditionalFormatting>
  <conditionalFormatting sqref="J11:J19 J29:J38">
    <cfRule type="expression" dxfId="57" priority="39">
      <formula>AND(C11="Loan",D11&gt;0,J11="",OR(I11="Interest Only",I11="P&amp;I Payments"))</formula>
    </cfRule>
  </conditionalFormatting>
  <conditionalFormatting sqref="J23:J25">
    <cfRule type="expression" dxfId="56" priority="22">
      <formula>AND(C23="Loan",D23&gt;0,J23="",OR(I23="Interest Only",I23="P&amp;I Payments"))</formula>
    </cfRule>
  </conditionalFormatting>
  <conditionalFormatting sqref="L5:L19 N5:O19 L29:L38 N29:O38 B40:C40">
    <cfRule type="containsErrors" dxfId="55" priority="82" stopIfTrue="1">
      <formula>ISERROR(B5)</formula>
    </cfRule>
  </conditionalFormatting>
  <conditionalFormatting sqref="L23:L25 N23:O25">
    <cfRule type="containsErrors" dxfId="54" priority="1" stopIfTrue="1">
      <formula>ISERROR(L23)</formula>
    </cfRule>
  </conditionalFormatting>
  <conditionalFormatting sqref="O5 O7:O19">
    <cfRule type="cellIs" dxfId="53" priority="86" operator="lessThan">
      <formula>0.97499999999</formula>
    </cfRule>
    <cfRule type="cellIs" dxfId="52" priority="87" operator="greaterThan">
      <formula>1.0250000000001</formula>
    </cfRule>
    <cfRule type="cellIs" dxfId="51" priority="88" operator="between">
      <formula>0.975</formula>
      <formula>1.025</formula>
    </cfRule>
  </conditionalFormatting>
  <conditionalFormatting sqref="O23:O25">
    <cfRule type="cellIs" dxfId="50" priority="4" operator="between">
      <formula>0.975</formula>
      <formula>1.025</formula>
    </cfRule>
    <cfRule type="cellIs" dxfId="49" priority="3" operator="greaterThan">
      <formula>1.0250000000001</formula>
    </cfRule>
    <cfRule type="cellIs" dxfId="48" priority="2" operator="lessThan">
      <formula>0.97499999999</formula>
    </cfRule>
  </conditionalFormatting>
  <dataValidations xWindow="1368" yWindow="623" count="19">
    <dataValidation type="decimal" allowBlank="1" showInputMessage="1" showErrorMessage="1" error="Enter a valid number of months" sqref="F5:F19 G7:G8 F23:F25 F29:F38" xr:uid="{00000000-0002-0000-0800-000000000000}">
      <formula1>0</formula1>
      <formula2>100000</formula2>
    </dataValidation>
    <dataValidation type="decimal" allowBlank="1" showInputMessage="1" showErrorMessage="1" sqref="E5:E21 E23:E27 E29:E39" xr:uid="{00000000-0002-0000-0800-000001000000}">
      <formula1>0</formula1>
      <formula2>10</formula2>
    </dataValidation>
    <dataValidation type="decimal" allowBlank="1" showInputMessage="1" showErrorMessage="1" error="Please enter in a loan dollar amount" promptTitle="Amount" sqref="D8:D17 D19 D23:D25 D30:D38" xr:uid="{00000000-0002-0000-0800-000002000000}">
      <formula1>0</formula1>
      <formula2>1000000000</formula2>
    </dataValidation>
    <dataValidation type="list" allowBlank="1" showInputMessage="1" showErrorMessage="1" sqref="C5:C6" xr:uid="{00000000-0002-0000-0800-000005000000}">
      <formula1>$Q$4:$Q$9</formula1>
    </dataValidation>
    <dataValidation allowBlank="1" showInputMessage="1" showErrorMessage="1" error="Please enter in a loan dollar amount" promptTitle="Amount" sqref="D29" xr:uid="{00000000-0002-0000-0800-000006000000}"/>
    <dataValidation type="custom" allowBlank="1" showInputMessage="1" showErrorMessage="1" sqref="R8" xr:uid="{00000000-0002-0000-0800-000008000000}">
      <formula1>UPPER(R8)</formula1>
    </dataValidation>
    <dataValidation type="custom" allowBlank="1" showInputMessage="1" showErrorMessage="1" error="Enter in a Monthly Debt Service amount or N/A, if not applicable" sqref="J5:J19 J23:J25 J29:J38" xr:uid="{00000000-0002-0000-0800-000009000000}">
      <formula1>OR(AND(ISNUMBER(J5),J5&gt;0),EXACT(J5,"N/A"),EXACT(J5,"n/A"),EXACT(J5,"N/a"),EXACT(J5,"n/a"))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3" xr:uid="{00000000-0002-0000-0800-00000A000000}"/>
    <dataValidation type="decimal" allowBlank="1" showInputMessage="1" showErrorMessage="1" error="Please enter a valid number of months" sqref="G5:H6 G9:G19 G23:G25 G29:G38"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500,000." promptTitle="Amount" sqref="D5:D6" xr:uid="{00000000-0002-0000-0800-00000C000000}">
      <formula1>1500000</formula1>
    </dataValidation>
    <dataValidation type="whole" operator="greaterThanOrEqual" allowBlank="1" showErrorMessage="1" errorTitle="Loan Fees" error="Enter the Loan Fee Amount as a whole number." promptTitle="Loan Fees" prompt="Enter the fees associated with each loan." sqref="H7:H19 H23:H25 H29:H38" xr:uid="{00000000-0002-0000-0800-00000D000000}">
      <formula1>0</formula1>
    </dataValidation>
    <dataValidation type="list" allowBlank="1" showInputMessage="1" showErrorMessage="1" sqref="I5:I19 I23:I25" xr:uid="{00000000-0002-0000-0800-00000E000000}">
      <formula1>"P&amp;I Payments,Interest Only,Deferred,Cash Flow Payments"</formula1>
    </dataValidation>
    <dataValidation allowBlank="1" showInputMessage="1" showErrorMessage="1" prompt="Enter Lender Name" sqref="B31" xr:uid="{00000000-0002-0000-0800-00000F000000}"/>
    <dataValidation type="decimal" allowBlank="1" showInputMessage="1" showErrorMessage="1" error="Please enter in a loan dollar amount" promptTitle="Amount" prompt="Should match supporting documentation._x000a_" sqref="D7"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18"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7:C1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1:C19 C23:C25 C29:C38" xr:uid="{BE8C51C4-FDB9-4CA8-8CFD-E71664AFE695}">
      <formula1>"Loan, Grant, Equity"</formula1>
    </dataValidation>
    <dataValidation type="textLength" operator="lessThan" allowBlank="1" showInputMessage="1" showErrorMessage="1" error="Text is limited to 60 characters." sqref="A12:B19" xr:uid="{DCB8A8C7-431F-4756-9619-5DDE3A3FA13C}">
      <formula1>59</formula1>
    </dataValidation>
    <dataValidation type="textLength" operator="lessThan" allowBlank="1" showInputMessage="1" showErrorMessage="1" error="Text is limited to 60 characters." prompt="Enter Lender Name" sqref="B7" xr:uid="{2C2558DC-5CA9-4A87-81A0-2684AC7C36B8}">
      <formula1>59</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extLst>
    <ext xmlns:x14="http://schemas.microsoft.com/office/spreadsheetml/2009/9/main" uri="{78C0D931-6437-407d-A8EE-F0AAD7539E65}">
      <x14:conditionalFormattings>
        <x14:conditionalFormatting xmlns:xm="http://schemas.microsoft.com/office/excel/2006/main">
          <x14:cfRule type="cellIs" priority="61" operator="notEqual" id="{A6BCEC07-62EA-4448-8FCF-A8501B614357}">
            <xm:f>'Development Budget Worksheet'!C119</xm:f>
            <x14:dxf>
              <font>
                <color rgb="FFFF0000"/>
              </font>
            </x14:dxf>
          </x14:cfRule>
          <x14:cfRule type="cellIs" priority="51" operator="equal" id="{62684BBE-A52C-42D2-AB0F-C5AC001C2D27}">
            <xm:f>'Development Budget Worksheet'!C119</xm:f>
            <x14:dxf>
              <font>
                <color rgb="FF00B050"/>
              </font>
            </x14:dxf>
          </x14:cfRule>
          <xm:sqref>D20:D21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76"/>
  <sheetViews>
    <sheetView showGridLines="0" zoomScaleNormal="100" zoomScaleSheetLayoutView="80" workbookViewId="0">
      <selection activeCell="E6" sqref="E6"/>
    </sheetView>
  </sheetViews>
  <sheetFormatPr defaultColWidth="7.85546875" defaultRowHeight="11.25" x14ac:dyDescent="0.2"/>
  <cols>
    <col min="1" max="1" width="14.42578125" style="149" customWidth="1"/>
    <col min="2" max="2" width="9.140625" style="149" customWidth="1"/>
    <col min="3" max="3" width="11.5703125" style="149" customWidth="1"/>
    <col min="4" max="4" width="10.28515625" style="149" customWidth="1"/>
    <col min="5" max="19" width="10.7109375" style="149" customWidth="1"/>
    <col min="20" max="20" width="8.42578125" style="149" customWidth="1"/>
    <col min="21" max="21" width="8" style="149" customWidth="1"/>
    <col min="22" max="22" width="10.140625" style="149" hidden="1" customWidth="1"/>
    <col min="23" max="23" width="15.42578125" style="149" hidden="1" customWidth="1"/>
    <col min="24" max="24" width="7.85546875" style="149"/>
    <col min="25" max="25" width="9.28515625" style="149" bestFit="1" customWidth="1"/>
    <col min="26" max="16384" width="7.85546875" style="149"/>
  </cols>
  <sheetData>
    <row r="1" spans="1:23" x14ac:dyDescent="0.2">
      <c r="A1" s="147" t="s">
        <v>65</v>
      </c>
      <c r="B1" s="147"/>
      <c r="C1" s="147"/>
      <c r="D1" s="147"/>
      <c r="E1" s="148"/>
    </row>
    <row r="2" spans="1:23" ht="12.75" customHeight="1" x14ac:dyDescent="0.2">
      <c r="A2" s="150" t="s">
        <v>530</v>
      </c>
      <c r="B2" s="150"/>
      <c r="C2" s="150"/>
      <c r="D2" s="150"/>
      <c r="E2" s="150"/>
      <c r="F2" s="150"/>
      <c r="G2" s="151"/>
      <c r="H2" s="726" t="s">
        <v>104</v>
      </c>
      <c r="I2" s="726"/>
      <c r="J2" s="726"/>
      <c r="K2" s="726"/>
      <c r="L2" s="726"/>
      <c r="M2" s="726"/>
      <c r="N2" s="726"/>
      <c r="O2" s="726"/>
      <c r="P2" s="726"/>
      <c r="Q2" s="726"/>
      <c r="R2" s="152"/>
      <c r="S2" s="152"/>
    </row>
    <row r="3" spans="1:23" ht="12.75" customHeight="1" x14ac:dyDescent="0.2">
      <c r="A3" s="153" t="s">
        <v>78</v>
      </c>
      <c r="B3" s="153"/>
      <c r="C3" s="153"/>
      <c r="D3" s="153"/>
      <c r="E3" s="153"/>
      <c r="F3" s="153"/>
      <c r="G3" s="153"/>
      <c r="H3" s="475"/>
      <c r="I3" s="476"/>
      <c r="J3" s="476"/>
      <c r="K3" s="726" t="s">
        <v>497</v>
      </c>
      <c r="L3" s="726"/>
      <c r="M3" s="726"/>
      <c r="N3" s="726"/>
      <c r="O3" s="14"/>
      <c r="P3" s="14"/>
      <c r="Q3" s="479"/>
      <c r="R3" s="480"/>
      <c r="S3" s="152"/>
    </row>
    <row r="4" spans="1:23" s="151" customFormat="1" ht="12.75" customHeight="1" x14ac:dyDescent="0.2">
      <c r="H4" s="476"/>
      <c r="I4" s="476"/>
      <c r="J4" s="476"/>
      <c r="K4" s="518"/>
      <c r="L4" s="518"/>
      <c r="M4" s="518"/>
      <c r="N4" s="518"/>
      <c r="O4" s="381"/>
      <c r="P4" s="381"/>
      <c r="Q4" s="473"/>
      <c r="R4" s="519"/>
      <c r="S4" s="520"/>
    </row>
    <row r="5" spans="1:23" ht="12" customHeight="1" x14ac:dyDescent="0.25">
      <c r="A5" s="154"/>
      <c r="B5" s="155"/>
      <c r="C5" s="155"/>
      <c r="D5" s="517" t="s">
        <v>1496</v>
      </c>
      <c r="E5" s="602">
        <f>'Project Information'!F15</f>
        <v>0</v>
      </c>
      <c r="H5" s="517" t="s">
        <v>1500</v>
      </c>
      <c r="I5" s="162"/>
      <c r="J5" s="516"/>
      <c r="K5" s="516"/>
      <c r="L5" s="522"/>
      <c r="M5" s="516"/>
      <c r="N5" s="157"/>
      <c r="R5" s="158"/>
      <c r="T5" s="159"/>
      <c r="V5" s="160"/>
      <c r="W5" s="160"/>
    </row>
    <row r="6" spans="1:23" ht="12" customHeight="1" x14ac:dyDescent="0.25">
      <c r="D6" s="521" t="s">
        <v>1429</v>
      </c>
      <c r="E6" s="162"/>
      <c r="H6" s="517" t="s">
        <v>1501</v>
      </c>
      <c r="I6" s="164"/>
      <c r="J6" s="478"/>
      <c r="K6" s="478"/>
      <c r="L6" s="157"/>
      <c r="M6" s="157"/>
      <c r="O6" s="513"/>
      <c r="P6" s="514"/>
      <c r="Q6" s="515"/>
    </row>
    <row r="7" spans="1:23" s="163" customFormat="1" ht="12" customHeight="1" x14ac:dyDescent="0.2">
      <c r="D7" s="521" t="s">
        <v>1430</v>
      </c>
      <c r="E7" s="164"/>
      <c r="F7" s="490" t="str">
        <f>IF(OR(E6&gt;0.07, E7&gt;0.07), "Vacancy is greater than 7%. Provide explanation in box below.", "")</f>
        <v/>
      </c>
      <c r="G7" s="477"/>
      <c r="H7" s="478"/>
      <c r="K7" s="161" t="s">
        <v>76</v>
      </c>
      <c r="L7" s="165">
        <v>0.02</v>
      </c>
      <c r="N7" s="161" t="s">
        <v>77</v>
      </c>
      <c r="O7" s="165">
        <v>0.03</v>
      </c>
      <c r="S7" s="166"/>
      <c r="U7" s="167"/>
    </row>
    <row r="8" spans="1:23" s="163" customFormat="1" ht="3.75" customHeight="1" x14ac:dyDescent="0.2">
      <c r="E8" s="168"/>
      <c r="F8" s="168"/>
      <c r="G8" s="168"/>
      <c r="H8" s="168"/>
      <c r="I8" s="168"/>
      <c r="J8" s="168"/>
      <c r="K8" s="168"/>
      <c r="L8" s="168"/>
      <c r="M8" s="168"/>
      <c r="N8" s="168"/>
      <c r="O8" s="168"/>
      <c r="P8" s="168"/>
      <c r="Q8" s="168"/>
      <c r="R8" s="168"/>
      <c r="S8" s="168"/>
      <c r="U8" s="167"/>
    </row>
    <row r="9" spans="1:23" ht="12.75" customHeight="1" x14ac:dyDescent="0.2">
      <c r="A9" s="844"/>
      <c r="B9" s="845"/>
      <c r="C9" s="169"/>
      <c r="D9" s="170" t="s">
        <v>507</v>
      </c>
      <c r="E9" s="170" t="s">
        <v>47</v>
      </c>
      <c r="F9" s="170" t="s">
        <v>48</v>
      </c>
      <c r="G9" s="170" t="s">
        <v>49</v>
      </c>
      <c r="H9" s="170" t="s">
        <v>50</v>
      </c>
      <c r="I9" s="170" t="s">
        <v>51</v>
      </c>
      <c r="J9" s="170" t="s">
        <v>52</v>
      </c>
      <c r="K9" s="170" t="s">
        <v>53</v>
      </c>
      <c r="L9" s="170" t="s">
        <v>54</v>
      </c>
      <c r="M9" s="170" t="s">
        <v>55</v>
      </c>
      <c r="N9" s="171" t="s">
        <v>56</v>
      </c>
      <c r="O9" s="171" t="s">
        <v>57</v>
      </c>
      <c r="P9" s="171" t="s">
        <v>58</v>
      </c>
      <c r="Q9" s="171" t="s">
        <v>59</v>
      </c>
      <c r="R9" s="171" t="s">
        <v>60</v>
      </c>
      <c r="S9" s="171" t="s">
        <v>61</v>
      </c>
      <c r="U9" s="167"/>
    </row>
    <row r="10" spans="1:23" ht="12.75" customHeight="1" x14ac:dyDescent="0.2">
      <c r="A10" s="573" t="s">
        <v>1509</v>
      </c>
      <c r="B10" s="172"/>
      <c r="C10" s="172"/>
      <c r="D10" s="172"/>
      <c r="E10" s="172"/>
      <c r="F10" s="172"/>
      <c r="G10" s="172"/>
      <c r="H10" s="173"/>
      <c r="I10" s="174"/>
      <c r="J10" s="175"/>
      <c r="K10" s="175"/>
      <c r="L10" s="175"/>
      <c r="M10" s="175"/>
      <c r="N10" s="176"/>
      <c r="O10" s="176"/>
      <c r="P10" s="176"/>
      <c r="Q10" s="176"/>
      <c r="R10" s="176"/>
      <c r="S10" s="176"/>
      <c r="U10" s="167"/>
    </row>
    <row r="11" spans="1:23" ht="12.75" customHeight="1" x14ac:dyDescent="0.2">
      <c r="A11" s="822" t="s">
        <v>1566</v>
      </c>
      <c r="B11" s="823"/>
      <c r="C11" s="857"/>
      <c r="D11" s="177"/>
      <c r="E11" s="181"/>
      <c r="F11" s="178">
        <f t="shared" ref="F11:S11" si="0">E11*(1+$L$7)</f>
        <v>0</v>
      </c>
      <c r="G11" s="178">
        <f t="shared" si="0"/>
        <v>0</v>
      </c>
      <c r="H11" s="179">
        <f t="shared" si="0"/>
        <v>0</v>
      </c>
      <c r="I11" s="179">
        <f t="shared" si="0"/>
        <v>0</v>
      </c>
      <c r="J11" s="179">
        <f t="shared" si="0"/>
        <v>0</v>
      </c>
      <c r="K11" s="179">
        <f t="shared" si="0"/>
        <v>0</v>
      </c>
      <c r="L11" s="179">
        <f t="shared" si="0"/>
        <v>0</v>
      </c>
      <c r="M11" s="179">
        <f t="shared" si="0"/>
        <v>0</v>
      </c>
      <c r="N11" s="178">
        <f t="shared" si="0"/>
        <v>0</v>
      </c>
      <c r="O11" s="178">
        <f t="shared" si="0"/>
        <v>0</v>
      </c>
      <c r="P11" s="178">
        <f t="shared" si="0"/>
        <v>0</v>
      </c>
      <c r="Q11" s="178">
        <f t="shared" si="0"/>
        <v>0</v>
      </c>
      <c r="R11" s="178">
        <f t="shared" si="0"/>
        <v>0</v>
      </c>
      <c r="S11" s="178">
        <f t="shared" si="0"/>
        <v>0</v>
      </c>
      <c r="U11" s="167"/>
    </row>
    <row r="12" spans="1:23" ht="12.75" customHeight="1" x14ac:dyDescent="0.2">
      <c r="A12" s="815" t="s">
        <v>1567</v>
      </c>
      <c r="B12" s="816"/>
      <c r="C12" s="817"/>
      <c r="D12" s="180"/>
      <c r="E12" s="181"/>
      <c r="F12" s="179">
        <f t="shared" ref="F12:S12" si="1">E12*(1+$L$7)</f>
        <v>0</v>
      </c>
      <c r="G12" s="179">
        <f t="shared" si="1"/>
        <v>0</v>
      </c>
      <c r="H12" s="179">
        <f t="shared" si="1"/>
        <v>0</v>
      </c>
      <c r="I12" s="179">
        <f t="shared" si="1"/>
        <v>0</v>
      </c>
      <c r="J12" s="179">
        <f t="shared" si="1"/>
        <v>0</v>
      </c>
      <c r="K12" s="179">
        <f t="shared" si="1"/>
        <v>0</v>
      </c>
      <c r="L12" s="179">
        <f t="shared" si="1"/>
        <v>0</v>
      </c>
      <c r="M12" s="179">
        <f t="shared" si="1"/>
        <v>0</v>
      </c>
      <c r="N12" s="179">
        <f t="shared" si="1"/>
        <v>0</v>
      </c>
      <c r="O12" s="179">
        <f t="shared" si="1"/>
        <v>0</v>
      </c>
      <c r="P12" s="179">
        <f t="shared" si="1"/>
        <v>0</v>
      </c>
      <c r="Q12" s="179">
        <f t="shared" si="1"/>
        <v>0</v>
      </c>
      <c r="R12" s="179">
        <f t="shared" si="1"/>
        <v>0</v>
      </c>
      <c r="S12" s="179">
        <f t="shared" si="1"/>
        <v>0</v>
      </c>
      <c r="V12" s="182">
        <f>E11+E14</f>
        <v>0</v>
      </c>
      <c r="W12" s="149" t="s">
        <v>1219</v>
      </c>
    </row>
    <row r="13" spans="1:23" ht="12.75" customHeight="1" x14ac:dyDescent="0.2">
      <c r="A13" s="815" t="s">
        <v>1568</v>
      </c>
      <c r="B13" s="816"/>
      <c r="C13" s="817"/>
      <c r="D13" s="183"/>
      <c r="E13" s="181"/>
      <c r="F13" s="184">
        <f t="shared" ref="F13:S13" si="2">E13*(1+$L$7)</f>
        <v>0</v>
      </c>
      <c r="G13" s="184">
        <f t="shared" si="2"/>
        <v>0</v>
      </c>
      <c r="H13" s="184">
        <f t="shared" si="2"/>
        <v>0</v>
      </c>
      <c r="I13" s="184">
        <f t="shared" si="2"/>
        <v>0</v>
      </c>
      <c r="J13" s="184">
        <f t="shared" si="2"/>
        <v>0</v>
      </c>
      <c r="K13" s="184">
        <f t="shared" si="2"/>
        <v>0</v>
      </c>
      <c r="L13" s="184">
        <f t="shared" si="2"/>
        <v>0</v>
      </c>
      <c r="M13" s="184">
        <f t="shared" si="2"/>
        <v>0</v>
      </c>
      <c r="N13" s="184">
        <f t="shared" si="2"/>
        <v>0</v>
      </c>
      <c r="O13" s="184">
        <f t="shared" si="2"/>
        <v>0</v>
      </c>
      <c r="P13" s="184">
        <f t="shared" si="2"/>
        <v>0</v>
      </c>
      <c r="Q13" s="184">
        <f t="shared" si="2"/>
        <v>0</v>
      </c>
      <c r="R13" s="184">
        <f t="shared" si="2"/>
        <v>0</v>
      </c>
      <c r="S13" s="184">
        <f t="shared" si="2"/>
        <v>0</v>
      </c>
    </row>
    <row r="14" spans="1:23" ht="12.75" customHeight="1" x14ac:dyDescent="0.2">
      <c r="A14" s="846" t="s">
        <v>1569</v>
      </c>
      <c r="B14" s="847"/>
      <c r="C14" s="848"/>
      <c r="D14" s="185"/>
      <c r="E14" s="181"/>
      <c r="F14" s="184">
        <f t="shared" ref="F14:S14" si="3">E14*(1+$L$7)</f>
        <v>0</v>
      </c>
      <c r="G14" s="184">
        <f t="shared" si="3"/>
        <v>0</v>
      </c>
      <c r="H14" s="184">
        <f t="shared" si="3"/>
        <v>0</v>
      </c>
      <c r="I14" s="184">
        <f t="shared" si="3"/>
        <v>0</v>
      </c>
      <c r="J14" s="184">
        <f t="shared" si="3"/>
        <v>0</v>
      </c>
      <c r="K14" s="184">
        <f t="shared" si="3"/>
        <v>0</v>
      </c>
      <c r="L14" s="184">
        <f t="shared" si="3"/>
        <v>0</v>
      </c>
      <c r="M14" s="184">
        <f t="shared" si="3"/>
        <v>0</v>
      </c>
      <c r="N14" s="184">
        <f t="shared" si="3"/>
        <v>0</v>
      </c>
      <c r="O14" s="184">
        <f t="shared" si="3"/>
        <v>0</v>
      </c>
      <c r="P14" s="184">
        <f t="shared" si="3"/>
        <v>0</v>
      </c>
      <c r="Q14" s="184">
        <f t="shared" si="3"/>
        <v>0</v>
      </c>
      <c r="R14" s="184">
        <f t="shared" si="3"/>
        <v>0</v>
      </c>
      <c r="S14" s="184">
        <f t="shared" si="3"/>
        <v>0</v>
      </c>
      <c r="T14" s="186" t="str">
        <f>IF(OR(AND(E14&lt;&gt;0,A14="D. Other Income:"),AND(E14&lt;&gt;0,A14="")),"Error:  Describe Source of Other Income","")</f>
        <v/>
      </c>
    </row>
    <row r="15" spans="1:23" ht="12.75" customHeight="1" x14ac:dyDescent="0.2">
      <c r="A15" s="619" t="s">
        <v>1570</v>
      </c>
      <c r="B15" s="834"/>
      <c r="C15" s="821"/>
      <c r="D15" s="185"/>
      <c r="E15" s="181"/>
      <c r="F15" s="184">
        <f t="shared" ref="F15:S16" si="4">E15*(1+$L$7)</f>
        <v>0</v>
      </c>
      <c r="G15" s="184">
        <f t="shared" si="4"/>
        <v>0</v>
      </c>
      <c r="H15" s="184">
        <f t="shared" si="4"/>
        <v>0</v>
      </c>
      <c r="I15" s="184">
        <f t="shared" si="4"/>
        <v>0</v>
      </c>
      <c r="J15" s="184">
        <f t="shared" si="4"/>
        <v>0</v>
      </c>
      <c r="K15" s="184">
        <f t="shared" si="4"/>
        <v>0</v>
      </c>
      <c r="L15" s="184">
        <f t="shared" si="4"/>
        <v>0</v>
      </c>
      <c r="M15" s="184">
        <f t="shared" si="4"/>
        <v>0</v>
      </c>
      <c r="N15" s="184">
        <f t="shared" si="4"/>
        <v>0</v>
      </c>
      <c r="O15" s="184">
        <f t="shared" si="4"/>
        <v>0</v>
      </c>
      <c r="P15" s="184">
        <f t="shared" si="4"/>
        <v>0</v>
      </c>
      <c r="Q15" s="184">
        <f t="shared" si="4"/>
        <v>0</v>
      </c>
      <c r="R15" s="184">
        <f t="shared" si="4"/>
        <v>0</v>
      </c>
      <c r="S15" s="184">
        <f t="shared" si="4"/>
        <v>0</v>
      </c>
      <c r="T15" s="186" t="str">
        <f>IF(OR(AND(E15&lt;&gt;0,A15="E. Other Income:"),AND(E15&lt;&gt;0,A15="")),"Error:  Describe Source of Other Income","")</f>
        <v/>
      </c>
    </row>
    <row r="16" spans="1:23" ht="12.75" customHeight="1" x14ac:dyDescent="0.2">
      <c r="A16" s="619" t="s">
        <v>1570</v>
      </c>
      <c r="B16" s="820"/>
      <c r="C16" s="821"/>
      <c r="D16" s="187"/>
      <c r="E16" s="181"/>
      <c r="F16" s="184">
        <f t="shared" si="4"/>
        <v>0</v>
      </c>
      <c r="G16" s="184">
        <f t="shared" si="4"/>
        <v>0</v>
      </c>
      <c r="H16" s="184">
        <f t="shared" si="4"/>
        <v>0</v>
      </c>
      <c r="I16" s="184">
        <f t="shared" si="4"/>
        <v>0</v>
      </c>
      <c r="J16" s="184">
        <f t="shared" si="4"/>
        <v>0</v>
      </c>
      <c r="K16" s="184">
        <f t="shared" si="4"/>
        <v>0</v>
      </c>
      <c r="L16" s="184">
        <f t="shared" si="4"/>
        <v>0</v>
      </c>
      <c r="M16" s="184">
        <f t="shared" si="4"/>
        <v>0</v>
      </c>
      <c r="N16" s="184">
        <f t="shared" si="4"/>
        <v>0</v>
      </c>
      <c r="O16" s="184">
        <f t="shared" si="4"/>
        <v>0</v>
      </c>
      <c r="P16" s="184">
        <f t="shared" si="4"/>
        <v>0</v>
      </c>
      <c r="Q16" s="184">
        <f t="shared" si="4"/>
        <v>0</v>
      </c>
      <c r="R16" s="184">
        <f t="shared" si="4"/>
        <v>0</v>
      </c>
      <c r="S16" s="184">
        <f t="shared" ref="S16" si="5">R16*(1+$L$7)</f>
        <v>0</v>
      </c>
      <c r="T16" s="186"/>
    </row>
    <row r="17" spans="1:20" ht="12.75" customHeight="1" x14ac:dyDescent="0.2">
      <c r="A17" s="824" t="s">
        <v>1571</v>
      </c>
      <c r="B17" s="827"/>
      <c r="C17" s="827"/>
      <c r="D17" s="188"/>
      <c r="E17" s="189">
        <f>ROUND(SUM(E11:E16),0)</f>
        <v>0</v>
      </c>
      <c r="F17" s="189">
        <f>ROUND(SUM(F11:F16),0)</f>
        <v>0</v>
      </c>
      <c r="G17" s="189">
        <f t="shared" ref="G17:S17" si="6">ROUND(SUM(G11:G16),0)</f>
        <v>0</v>
      </c>
      <c r="H17" s="189">
        <f t="shared" si="6"/>
        <v>0</v>
      </c>
      <c r="I17" s="189">
        <f t="shared" si="6"/>
        <v>0</v>
      </c>
      <c r="J17" s="189">
        <f t="shared" si="6"/>
        <v>0</v>
      </c>
      <c r="K17" s="189">
        <f t="shared" si="6"/>
        <v>0</v>
      </c>
      <c r="L17" s="189">
        <f t="shared" si="6"/>
        <v>0</v>
      </c>
      <c r="M17" s="189">
        <f t="shared" si="6"/>
        <v>0</v>
      </c>
      <c r="N17" s="189">
        <f t="shared" si="6"/>
        <v>0</v>
      </c>
      <c r="O17" s="189">
        <f t="shared" si="6"/>
        <v>0</v>
      </c>
      <c r="P17" s="189">
        <f t="shared" si="6"/>
        <v>0</v>
      </c>
      <c r="Q17" s="189">
        <f t="shared" si="6"/>
        <v>0</v>
      </c>
      <c r="R17" s="189">
        <f t="shared" si="6"/>
        <v>0</v>
      </c>
      <c r="S17" s="189">
        <f t="shared" si="6"/>
        <v>0</v>
      </c>
      <c r="T17" s="186" t="str">
        <f>IF(AND(E17&lt;&gt;0,A17="F. Other Income:"),"Describe Other Source of Income","")</f>
        <v/>
      </c>
    </row>
    <row r="18" spans="1:20" ht="12.75" customHeight="1" x14ac:dyDescent="0.2">
      <c r="A18" s="815" t="s">
        <v>1510</v>
      </c>
      <c r="B18" s="816"/>
      <c r="C18" s="817"/>
      <c r="D18" s="187"/>
      <c r="E18" s="190">
        <f>-ROUND((E11+E14)*$E$6,0)</f>
        <v>0</v>
      </c>
      <c r="F18" s="190">
        <f>-ROUND((F11+F14)*$E$7,0)</f>
        <v>0</v>
      </c>
      <c r="G18" s="190">
        <f t="shared" ref="G18:S18" si="7">-ROUND((G11+G14)*$E$7,0)</f>
        <v>0</v>
      </c>
      <c r="H18" s="190">
        <f t="shared" si="7"/>
        <v>0</v>
      </c>
      <c r="I18" s="190">
        <f t="shared" si="7"/>
        <v>0</v>
      </c>
      <c r="J18" s="190">
        <f t="shared" si="7"/>
        <v>0</v>
      </c>
      <c r="K18" s="190">
        <f t="shared" si="7"/>
        <v>0</v>
      </c>
      <c r="L18" s="190">
        <f t="shared" si="7"/>
        <v>0</v>
      </c>
      <c r="M18" s="190">
        <f t="shared" si="7"/>
        <v>0</v>
      </c>
      <c r="N18" s="190">
        <f t="shared" si="7"/>
        <v>0</v>
      </c>
      <c r="O18" s="190">
        <f t="shared" si="7"/>
        <v>0</v>
      </c>
      <c r="P18" s="190">
        <f t="shared" si="7"/>
        <v>0</v>
      </c>
      <c r="Q18" s="190">
        <f t="shared" si="7"/>
        <v>0</v>
      </c>
      <c r="R18" s="190">
        <f t="shared" si="7"/>
        <v>0</v>
      </c>
      <c r="S18" s="190">
        <f t="shared" si="7"/>
        <v>0</v>
      </c>
    </row>
    <row r="19" spans="1:20" ht="12.75" customHeight="1" x14ac:dyDescent="0.2">
      <c r="A19" s="854" t="s">
        <v>506</v>
      </c>
      <c r="B19" s="855"/>
      <c r="C19" s="856"/>
      <c r="D19" s="191"/>
      <c r="E19" s="192">
        <f>E17+E18</f>
        <v>0</v>
      </c>
      <c r="F19" s="190">
        <f t="shared" ref="F19:S19" si="8">F17+F18</f>
        <v>0</v>
      </c>
      <c r="G19" s="190">
        <f t="shared" si="8"/>
        <v>0</v>
      </c>
      <c r="H19" s="190">
        <f t="shared" si="8"/>
        <v>0</v>
      </c>
      <c r="I19" s="190">
        <f t="shared" si="8"/>
        <v>0</v>
      </c>
      <c r="J19" s="190">
        <f t="shared" si="8"/>
        <v>0</v>
      </c>
      <c r="K19" s="190">
        <f t="shared" si="8"/>
        <v>0</v>
      </c>
      <c r="L19" s="190">
        <f t="shared" si="8"/>
        <v>0</v>
      </c>
      <c r="M19" s="190">
        <f t="shared" si="8"/>
        <v>0</v>
      </c>
      <c r="N19" s="190">
        <f t="shared" si="8"/>
        <v>0</v>
      </c>
      <c r="O19" s="190">
        <f t="shared" si="8"/>
        <v>0</v>
      </c>
      <c r="P19" s="190">
        <f t="shared" si="8"/>
        <v>0</v>
      </c>
      <c r="Q19" s="190">
        <f t="shared" si="8"/>
        <v>0</v>
      </c>
      <c r="R19" s="190">
        <f t="shared" si="8"/>
        <v>0</v>
      </c>
      <c r="S19" s="190">
        <f t="shared" si="8"/>
        <v>0</v>
      </c>
    </row>
    <row r="20" spans="1:20" ht="12.75" customHeight="1" x14ac:dyDescent="0.2">
      <c r="A20" s="587"/>
      <c r="B20" s="587"/>
      <c r="C20" s="587"/>
      <c r="D20" s="588"/>
      <c r="E20" s="494"/>
      <c r="F20" s="494"/>
      <c r="G20" s="494"/>
      <c r="H20" s="494"/>
      <c r="I20" s="494"/>
      <c r="J20" s="494"/>
      <c r="K20" s="494"/>
      <c r="L20" s="494"/>
      <c r="M20" s="494"/>
      <c r="N20" s="494"/>
      <c r="O20" s="494"/>
      <c r="P20" s="494"/>
      <c r="Q20" s="494"/>
      <c r="R20" s="494"/>
      <c r="S20" s="575"/>
    </row>
    <row r="21" spans="1:20" ht="12.75" customHeight="1" x14ac:dyDescent="0.2">
      <c r="A21" s="858" t="s">
        <v>1511</v>
      </c>
      <c r="B21" s="850"/>
      <c r="C21" s="850"/>
      <c r="D21" s="586"/>
      <c r="E21" s="586"/>
      <c r="F21" s="193"/>
      <c r="G21" s="193"/>
      <c r="H21" s="193"/>
      <c r="I21" s="193"/>
      <c r="J21" s="193"/>
      <c r="K21" s="193"/>
      <c r="L21" s="193"/>
      <c r="M21" s="193"/>
      <c r="N21" s="193"/>
      <c r="O21" s="193"/>
      <c r="P21" s="193"/>
      <c r="Q21" s="193"/>
      <c r="R21" s="193"/>
      <c r="S21" s="589"/>
      <c r="T21" s="186"/>
    </row>
    <row r="22" spans="1:20" ht="12.75" customHeight="1" x14ac:dyDescent="0.2">
      <c r="A22" s="622" t="s">
        <v>1512</v>
      </c>
      <c r="B22" s="194"/>
      <c r="C22" s="195">
        <f>IF(E22=0,0,IF((E11+E14)&gt;(E15+E16),IF(E22=0,0,E22/(E11+E14+E18)),(E22/(E11+E14+E15+E16+E18))))</f>
        <v>0</v>
      </c>
      <c r="D22" s="196" t="str">
        <f t="shared" ref="D22:D45" si="9">IF(OR(E22=0,E22=""),"",(E22/12)/$E$5)</f>
        <v/>
      </c>
      <c r="E22" s="688"/>
      <c r="F22" s="190">
        <f t="shared" ref="F22:S22" si="10">IF((F11+F14)&gt;(F15+F16),(F11+F14+F18)*$C$22,(F11+F14+F15+F16+F18)*$C$22)</f>
        <v>0</v>
      </c>
      <c r="G22" s="190">
        <f t="shared" si="10"/>
        <v>0</v>
      </c>
      <c r="H22" s="190">
        <f t="shared" si="10"/>
        <v>0</v>
      </c>
      <c r="I22" s="190">
        <f t="shared" si="10"/>
        <v>0</v>
      </c>
      <c r="J22" s="190">
        <f t="shared" si="10"/>
        <v>0</v>
      </c>
      <c r="K22" s="190">
        <f t="shared" si="10"/>
        <v>0</v>
      </c>
      <c r="L22" s="190">
        <f t="shared" si="10"/>
        <v>0</v>
      </c>
      <c r="M22" s="190">
        <f t="shared" si="10"/>
        <v>0</v>
      </c>
      <c r="N22" s="190">
        <f t="shared" si="10"/>
        <v>0</v>
      </c>
      <c r="O22" s="190">
        <f t="shared" si="10"/>
        <v>0</v>
      </c>
      <c r="P22" s="190">
        <f t="shared" si="10"/>
        <v>0</v>
      </c>
      <c r="Q22" s="190">
        <f t="shared" si="10"/>
        <v>0</v>
      </c>
      <c r="R22" s="190">
        <f t="shared" si="10"/>
        <v>0</v>
      </c>
      <c r="S22" s="190">
        <f t="shared" si="10"/>
        <v>0</v>
      </c>
    </row>
    <row r="23" spans="1:20" ht="12.75" customHeight="1" x14ac:dyDescent="0.2">
      <c r="A23" s="851" t="s">
        <v>1513</v>
      </c>
      <c r="B23" s="852"/>
      <c r="C23" s="853"/>
      <c r="D23" s="197" t="str">
        <f t="shared" si="9"/>
        <v/>
      </c>
      <c r="E23" s="688"/>
      <c r="F23" s="190">
        <f t="shared" ref="F23:S23" si="11">E23*(1+$O$7)</f>
        <v>0</v>
      </c>
      <c r="G23" s="190">
        <f t="shared" si="11"/>
        <v>0</v>
      </c>
      <c r="H23" s="190">
        <f t="shared" si="11"/>
        <v>0</v>
      </c>
      <c r="I23" s="190">
        <f t="shared" si="11"/>
        <v>0</v>
      </c>
      <c r="J23" s="190">
        <f t="shared" si="11"/>
        <v>0</v>
      </c>
      <c r="K23" s="190">
        <f t="shared" si="11"/>
        <v>0</v>
      </c>
      <c r="L23" s="190">
        <f t="shared" si="11"/>
        <v>0</v>
      </c>
      <c r="M23" s="190">
        <f t="shared" si="11"/>
        <v>0</v>
      </c>
      <c r="N23" s="190">
        <f t="shared" si="11"/>
        <v>0</v>
      </c>
      <c r="O23" s="190">
        <f t="shared" si="11"/>
        <v>0</v>
      </c>
      <c r="P23" s="190">
        <f t="shared" si="11"/>
        <v>0</v>
      </c>
      <c r="Q23" s="190">
        <f t="shared" si="11"/>
        <v>0</v>
      </c>
      <c r="R23" s="190">
        <f t="shared" si="11"/>
        <v>0</v>
      </c>
      <c r="S23" s="190">
        <f t="shared" si="11"/>
        <v>0</v>
      </c>
    </row>
    <row r="24" spans="1:20" ht="12.75" customHeight="1" x14ac:dyDescent="0.2">
      <c r="A24" s="815" t="s">
        <v>1514</v>
      </c>
      <c r="B24" s="816"/>
      <c r="C24" s="817"/>
      <c r="D24" s="197" t="str">
        <f t="shared" si="9"/>
        <v/>
      </c>
      <c r="E24" s="688"/>
      <c r="F24" s="190">
        <f t="shared" ref="F24:S24" si="12">E24*(1+$O$7)</f>
        <v>0</v>
      </c>
      <c r="G24" s="190">
        <f t="shared" si="12"/>
        <v>0</v>
      </c>
      <c r="H24" s="190">
        <f t="shared" si="12"/>
        <v>0</v>
      </c>
      <c r="I24" s="190">
        <f t="shared" si="12"/>
        <v>0</v>
      </c>
      <c r="J24" s="190">
        <f t="shared" si="12"/>
        <v>0</v>
      </c>
      <c r="K24" s="190">
        <f t="shared" si="12"/>
        <v>0</v>
      </c>
      <c r="L24" s="190">
        <f t="shared" si="12"/>
        <v>0</v>
      </c>
      <c r="M24" s="190">
        <f t="shared" si="12"/>
        <v>0</v>
      </c>
      <c r="N24" s="190">
        <f t="shared" si="12"/>
        <v>0</v>
      </c>
      <c r="O24" s="190">
        <f t="shared" si="12"/>
        <v>0</v>
      </c>
      <c r="P24" s="190">
        <f t="shared" si="12"/>
        <v>0</v>
      </c>
      <c r="Q24" s="190">
        <f t="shared" si="12"/>
        <v>0</v>
      </c>
      <c r="R24" s="190">
        <f t="shared" si="12"/>
        <v>0</v>
      </c>
      <c r="S24" s="190">
        <f t="shared" si="12"/>
        <v>0</v>
      </c>
    </row>
    <row r="25" spans="1:20" ht="12.75" customHeight="1" x14ac:dyDescent="0.2">
      <c r="A25" s="815" t="s">
        <v>1515</v>
      </c>
      <c r="B25" s="816"/>
      <c r="C25" s="817"/>
      <c r="D25" s="197" t="str">
        <f t="shared" si="9"/>
        <v/>
      </c>
      <c r="E25" s="688"/>
      <c r="F25" s="190">
        <f t="shared" ref="F25:S25" si="13">E25*(1+$O$7)</f>
        <v>0</v>
      </c>
      <c r="G25" s="190">
        <f t="shared" si="13"/>
        <v>0</v>
      </c>
      <c r="H25" s="190">
        <f t="shared" si="13"/>
        <v>0</v>
      </c>
      <c r="I25" s="190">
        <f t="shared" si="13"/>
        <v>0</v>
      </c>
      <c r="J25" s="190">
        <f t="shared" si="13"/>
        <v>0</v>
      </c>
      <c r="K25" s="190">
        <f t="shared" si="13"/>
        <v>0</v>
      </c>
      <c r="L25" s="190">
        <f t="shared" si="13"/>
        <v>0</v>
      </c>
      <c r="M25" s="190">
        <f t="shared" si="13"/>
        <v>0</v>
      </c>
      <c r="N25" s="190">
        <f t="shared" si="13"/>
        <v>0</v>
      </c>
      <c r="O25" s="190">
        <f t="shared" si="13"/>
        <v>0</v>
      </c>
      <c r="P25" s="190">
        <f t="shared" si="13"/>
        <v>0</v>
      </c>
      <c r="Q25" s="190">
        <f t="shared" si="13"/>
        <v>0</v>
      </c>
      <c r="R25" s="190">
        <f t="shared" si="13"/>
        <v>0</v>
      </c>
      <c r="S25" s="190">
        <f t="shared" si="13"/>
        <v>0</v>
      </c>
    </row>
    <row r="26" spans="1:20" ht="12.75" customHeight="1" x14ac:dyDescent="0.2">
      <c r="A26" s="815" t="s">
        <v>1516</v>
      </c>
      <c r="B26" s="816"/>
      <c r="C26" s="817"/>
      <c r="D26" s="197" t="str">
        <f t="shared" si="9"/>
        <v/>
      </c>
      <c r="E26" s="688"/>
      <c r="F26" s="190">
        <f t="shared" ref="F26:S26" si="14">E26*(1+$O$7)</f>
        <v>0</v>
      </c>
      <c r="G26" s="190">
        <f t="shared" si="14"/>
        <v>0</v>
      </c>
      <c r="H26" s="190">
        <f t="shared" si="14"/>
        <v>0</v>
      </c>
      <c r="I26" s="190">
        <f t="shared" si="14"/>
        <v>0</v>
      </c>
      <c r="J26" s="190">
        <f t="shared" si="14"/>
        <v>0</v>
      </c>
      <c r="K26" s="190">
        <f t="shared" si="14"/>
        <v>0</v>
      </c>
      <c r="L26" s="190">
        <f t="shared" si="14"/>
        <v>0</v>
      </c>
      <c r="M26" s="190">
        <f t="shared" si="14"/>
        <v>0</v>
      </c>
      <c r="N26" s="190">
        <f t="shared" si="14"/>
        <v>0</v>
      </c>
      <c r="O26" s="190">
        <f t="shared" si="14"/>
        <v>0</v>
      </c>
      <c r="P26" s="190">
        <f t="shared" si="14"/>
        <v>0</v>
      </c>
      <c r="Q26" s="190">
        <f t="shared" si="14"/>
        <v>0</v>
      </c>
      <c r="R26" s="190">
        <f t="shared" si="14"/>
        <v>0</v>
      </c>
      <c r="S26" s="190">
        <f t="shared" si="14"/>
        <v>0</v>
      </c>
    </row>
    <row r="27" spans="1:20" ht="12.75" customHeight="1" x14ac:dyDescent="0.2">
      <c r="A27" s="815" t="s">
        <v>1517</v>
      </c>
      <c r="B27" s="816"/>
      <c r="C27" s="817"/>
      <c r="D27" s="197" t="str">
        <f t="shared" si="9"/>
        <v/>
      </c>
      <c r="E27" s="688"/>
      <c r="F27" s="190">
        <f t="shared" ref="F27:S27" si="15">E27*(1+$O$7)</f>
        <v>0</v>
      </c>
      <c r="G27" s="190">
        <f t="shared" si="15"/>
        <v>0</v>
      </c>
      <c r="H27" s="190">
        <f t="shared" si="15"/>
        <v>0</v>
      </c>
      <c r="I27" s="190">
        <f t="shared" si="15"/>
        <v>0</v>
      </c>
      <c r="J27" s="190">
        <f t="shared" si="15"/>
        <v>0</v>
      </c>
      <c r="K27" s="190">
        <f t="shared" si="15"/>
        <v>0</v>
      </c>
      <c r="L27" s="190">
        <f t="shared" si="15"/>
        <v>0</v>
      </c>
      <c r="M27" s="190">
        <f t="shared" si="15"/>
        <v>0</v>
      </c>
      <c r="N27" s="190">
        <f t="shared" si="15"/>
        <v>0</v>
      </c>
      <c r="O27" s="190">
        <f t="shared" si="15"/>
        <v>0</v>
      </c>
      <c r="P27" s="190">
        <f t="shared" si="15"/>
        <v>0</v>
      </c>
      <c r="Q27" s="190">
        <f t="shared" si="15"/>
        <v>0</v>
      </c>
      <c r="R27" s="190">
        <f t="shared" si="15"/>
        <v>0</v>
      </c>
      <c r="S27" s="190">
        <f t="shared" si="15"/>
        <v>0</v>
      </c>
    </row>
    <row r="28" spans="1:20" ht="12.75" customHeight="1" x14ac:dyDescent="0.2">
      <c r="A28" s="815" t="s">
        <v>1518</v>
      </c>
      <c r="B28" s="816"/>
      <c r="C28" s="817"/>
      <c r="D28" s="197" t="str">
        <f t="shared" si="9"/>
        <v/>
      </c>
      <c r="E28" s="688"/>
      <c r="F28" s="190">
        <f t="shared" ref="F28:S28" si="16">E28*(1+$O$7)</f>
        <v>0</v>
      </c>
      <c r="G28" s="190">
        <f t="shared" si="16"/>
        <v>0</v>
      </c>
      <c r="H28" s="190">
        <f t="shared" si="16"/>
        <v>0</v>
      </c>
      <c r="I28" s="190">
        <f t="shared" si="16"/>
        <v>0</v>
      </c>
      <c r="J28" s="190">
        <f t="shared" si="16"/>
        <v>0</v>
      </c>
      <c r="K28" s="190">
        <f t="shared" si="16"/>
        <v>0</v>
      </c>
      <c r="L28" s="190">
        <f t="shared" si="16"/>
        <v>0</v>
      </c>
      <c r="M28" s="190">
        <f t="shared" si="16"/>
        <v>0</v>
      </c>
      <c r="N28" s="190">
        <f t="shared" si="16"/>
        <v>0</v>
      </c>
      <c r="O28" s="190">
        <f t="shared" si="16"/>
        <v>0</v>
      </c>
      <c r="P28" s="190">
        <f t="shared" si="16"/>
        <v>0</v>
      </c>
      <c r="Q28" s="190">
        <f t="shared" si="16"/>
        <v>0</v>
      </c>
      <c r="R28" s="190">
        <f t="shared" si="16"/>
        <v>0</v>
      </c>
      <c r="S28" s="190">
        <f t="shared" si="16"/>
        <v>0</v>
      </c>
    </row>
    <row r="29" spans="1:20" ht="12.75" customHeight="1" x14ac:dyDescent="0.2">
      <c r="A29" s="815" t="s">
        <v>1519</v>
      </c>
      <c r="B29" s="816"/>
      <c r="C29" s="817"/>
      <c r="D29" s="197" t="str">
        <f t="shared" si="9"/>
        <v/>
      </c>
      <c r="E29" s="688"/>
      <c r="F29" s="190">
        <f t="shared" ref="F29:S29" si="17">E29*(1+$O$7)</f>
        <v>0</v>
      </c>
      <c r="G29" s="190">
        <f t="shared" si="17"/>
        <v>0</v>
      </c>
      <c r="H29" s="190">
        <f t="shared" si="17"/>
        <v>0</v>
      </c>
      <c r="I29" s="190">
        <f t="shared" si="17"/>
        <v>0</v>
      </c>
      <c r="J29" s="190">
        <f t="shared" si="17"/>
        <v>0</v>
      </c>
      <c r="K29" s="190">
        <f t="shared" si="17"/>
        <v>0</v>
      </c>
      <c r="L29" s="190">
        <f t="shared" si="17"/>
        <v>0</v>
      </c>
      <c r="M29" s="190">
        <f t="shared" si="17"/>
        <v>0</v>
      </c>
      <c r="N29" s="190">
        <f t="shared" si="17"/>
        <v>0</v>
      </c>
      <c r="O29" s="190">
        <f t="shared" si="17"/>
        <v>0</v>
      </c>
      <c r="P29" s="190">
        <f t="shared" si="17"/>
        <v>0</v>
      </c>
      <c r="Q29" s="190">
        <f t="shared" si="17"/>
        <v>0</v>
      </c>
      <c r="R29" s="190">
        <f t="shared" si="17"/>
        <v>0</v>
      </c>
      <c r="S29" s="190">
        <f t="shared" si="17"/>
        <v>0</v>
      </c>
    </row>
    <row r="30" spans="1:20" ht="12.75" customHeight="1" x14ac:dyDescent="0.2">
      <c r="A30" s="815" t="s">
        <v>1520</v>
      </c>
      <c r="B30" s="816"/>
      <c r="C30" s="817"/>
      <c r="D30" s="197" t="str">
        <f t="shared" si="9"/>
        <v/>
      </c>
      <c r="E30" s="688"/>
      <c r="F30" s="190">
        <f t="shared" ref="F30:S30" si="18">E30*(1+$O$7)</f>
        <v>0</v>
      </c>
      <c r="G30" s="190">
        <f t="shared" si="18"/>
        <v>0</v>
      </c>
      <c r="H30" s="190">
        <f t="shared" si="18"/>
        <v>0</v>
      </c>
      <c r="I30" s="190">
        <f t="shared" si="18"/>
        <v>0</v>
      </c>
      <c r="J30" s="190">
        <f t="shared" si="18"/>
        <v>0</v>
      </c>
      <c r="K30" s="190">
        <f t="shared" si="18"/>
        <v>0</v>
      </c>
      <c r="L30" s="190">
        <f t="shared" si="18"/>
        <v>0</v>
      </c>
      <c r="M30" s="190">
        <f t="shared" si="18"/>
        <v>0</v>
      </c>
      <c r="N30" s="190">
        <f t="shared" si="18"/>
        <v>0</v>
      </c>
      <c r="O30" s="190">
        <f t="shared" si="18"/>
        <v>0</v>
      </c>
      <c r="P30" s="190">
        <f t="shared" si="18"/>
        <v>0</v>
      </c>
      <c r="Q30" s="190">
        <f t="shared" si="18"/>
        <v>0</v>
      </c>
      <c r="R30" s="190">
        <f t="shared" si="18"/>
        <v>0</v>
      </c>
      <c r="S30" s="190">
        <f t="shared" si="18"/>
        <v>0</v>
      </c>
    </row>
    <row r="31" spans="1:20" ht="12.75" customHeight="1" x14ac:dyDescent="0.2">
      <c r="A31" s="846" t="s">
        <v>1521</v>
      </c>
      <c r="B31" s="847"/>
      <c r="C31" s="848"/>
      <c r="D31" s="197" t="str">
        <f t="shared" si="9"/>
        <v/>
      </c>
      <c r="E31" s="688"/>
      <c r="F31" s="190">
        <f t="shared" ref="F31:S31" si="19">E31*(1+$O$7)</f>
        <v>0</v>
      </c>
      <c r="G31" s="190">
        <f t="shared" si="19"/>
        <v>0</v>
      </c>
      <c r="H31" s="190">
        <f t="shared" si="19"/>
        <v>0</v>
      </c>
      <c r="I31" s="190">
        <f t="shared" si="19"/>
        <v>0</v>
      </c>
      <c r="J31" s="190">
        <f t="shared" si="19"/>
        <v>0</v>
      </c>
      <c r="K31" s="190">
        <f t="shared" si="19"/>
        <v>0</v>
      </c>
      <c r="L31" s="190">
        <f t="shared" si="19"/>
        <v>0</v>
      </c>
      <c r="M31" s="190">
        <f t="shared" si="19"/>
        <v>0</v>
      </c>
      <c r="N31" s="190">
        <f t="shared" si="19"/>
        <v>0</v>
      </c>
      <c r="O31" s="190">
        <f t="shared" si="19"/>
        <v>0</v>
      </c>
      <c r="P31" s="190">
        <f t="shared" si="19"/>
        <v>0</v>
      </c>
      <c r="Q31" s="190">
        <f t="shared" si="19"/>
        <v>0</v>
      </c>
      <c r="R31" s="190">
        <f t="shared" si="19"/>
        <v>0</v>
      </c>
      <c r="S31" s="190">
        <f t="shared" si="19"/>
        <v>0</v>
      </c>
    </row>
    <row r="32" spans="1:20" ht="12.75" customHeight="1" x14ac:dyDescent="0.2">
      <c r="A32" s="815" t="s">
        <v>1522</v>
      </c>
      <c r="B32" s="816"/>
      <c r="C32" s="817"/>
      <c r="D32" s="197" t="str">
        <f t="shared" si="9"/>
        <v/>
      </c>
      <c r="E32" s="688"/>
      <c r="F32" s="190">
        <f t="shared" ref="F32:S32" si="20">E32*(1+$O$7)</f>
        <v>0</v>
      </c>
      <c r="G32" s="190">
        <f t="shared" si="20"/>
        <v>0</v>
      </c>
      <c r="H32" s="190">
        <f t="shared" si="20"/>
        <v>0</v>
      </c>
      <c r="I32" s="190">
        <f t="shared" si="20"/>
        <v>0</v>
      </c>
      <c r="J32" s="190">
        <f t="shared" si="20"/>
        <v>0</v>
      </c>
      <c r="K32" s="190">
        <f t="shared" si="20"/>
        <v>0</v>
      </c>
      <c r="L32" s="190">
        <f t="shared" si="20"/>
        <v>0</v>
      </c>
      <c r="M32" s="190">
        <f t="shared" si="20"/>
        <v>0</v>
      </c>
      <c r="N32" s="190">
        <f t="shared" si="20"/>
        <v>0</v>
      </c>
      <c r="O32" s="190">
        <f t="shared" si="20"/>
        <v>0</v>
      </c>
      <c r="P32" s="190">
        <f t="shared" si="20"/>
        <v>0</v>
      </c>
      <c r="Q32" s="190">
        <f t="shared" si="20"/>
        <v>0</v>
      </c>
      <c r="R32" s="190">
        <f t="shared" si="20"/>
        <v>0</v>
      </c>
      <c r="S32" s="190">
        <f t="shared" si="20"/>
        <v>0</v>
      </c>
    </row>
    <row r="33" spans="1:25" ht="12.75" customHeight="1" x14ac:dyDescent="0.2">
      <c r="A33" s="815" t="s">
        <v>1523</v>
      </c>
      <c r="B33" s="816"/>
      <c r="C33" s="817"/>
      <c r="D33" s="197" t="str">
        <f t="shared" si="9"/>
        <v/>
      </c>
      <c r="E33" s="688"/>
      <c r="F33" s="190">
        <f t="shared" ref="F33:S33" si="21">E33*(1+$O$7)</f>
        <v>0</v>
      </c>
      <c r="G33" s="190">
        <f t="shared" si="21"/>
        <v>0</v>
      </c>
      <c r="H33" s="190">
        <f t="shared" si="21"/>
        <v>0</v>
      </c>
      <c r="I33" s="190">
        <f t="shared" si="21"/>
        <v>0</v>
      </c>
      <c r="J33" s="190">
        <f t="shared" si="21"/>
        <v>0</v>
      </c>
      <c r="K33" s="190">
        <f t="shared" si="21"/>
        <v>0</v>
      </c>
      <c r="L33" s="190">
        <f t="shared" si="21"/>
        <v>0</v>
      </c>
      <c r="M33" s="190">
        <f t="shared" si="21"/>
        <v>0</v>
      </c>
      <c r="N33" s="190">
        <f t="shared" si="21"/>
        <v>0</v>
      </c>
      <c r="O33" s="190">
        <f t="shared" si="21"/>
        <v>0</v>
      </c>
      <c r="P33" s="190">
        <f t="shared" si="21"/>
        <v>0</v>
      </c>
      <c r="Q33" s="190">
        <f t="shared" si="21"/>
        <v>0</v>
      </c>
      <c r="R33" s="190">
        <f t="shared" si="21"/>
        <v>0</v>
      </c>
      <c r="S33" s="190">
        <f t="shared" si="21"/>
        <v>0</v>
      </c>
    </row>
    <row r="34" spans="1:25" ht="12.75" customHeight="1" x14ac:dyDescent="0.2">
      <c r="A34" s="815" t="s">
        <v>1524</v>
      </c>
      <c r="B34" s="816"/>
      <c r="C34" s="817"/>
      <c r="D34" s="197" t="str">
        <f t="shared" si="9"/>
        <v/>
      </c>
      <c r="E34" s="688"/>
      <c r="F34" s="190">
        <f t="shared" ref="F34:S34" si="22">E34*(1+$O$7)</f>
        <v>0</v>
      </c>
      <c r="G34" s="190">
        <f t="shared" si="22"/>
        <v>0</v>
      </c>
      <c r="H34" s="190">
        <f t="shared" si="22"/>
        <v>0</v>
      </c>
      <c r="I34" s="190">
        <f t="shared" si="22"/>
        <v>0</v>
      </c>
      <c r="J34" s="190">
        <f t="shared" si="22"/>
        <v>0</v>
      </c>
      <c r="K34" s="190">
        <f t="shared" si="22"/>
        <v>0</v>
      </c>
      <c r="L34" s="190">
        <f t="shared" si="22"/>
        <v>0</v>
      </c>
      <c r="M34" s="190">
        <f t="shared" si="22"/>
        <v>0</v>
      </c>
      <c r="N34" s="190">
        <f t="shared" si="22"/>
        <v>0</v>
      </c>
      <c r="O34" s="190">
        <f t="shared" si="22"/>
        <v>0</v>
      </c>
      <c r="P34" s="190">
        <f t="shared" si="22"/>
        <v>0</v>
      </c>
      <c r="Q34" s="190">
        <f t="shared" si="22"/>
        <v>0</v>
      </c>
      <c r="R34" s="190">
        <f t="shared" si="22"/>
        <v>0</v>
      </c>
      <c r="S34" s="190">
        <f t="shared" si="22"/>
        <v>0</v>
      </c>
    </row>
    <row r="35" spans="1:25" ht="12.75" customHeight="1" x14ac:dyDescent="0.2">
      <c r="A35" s="846" t="s">
        <v>1525</v>
      </c>
      <c r="B35" s="847"/>
      <c r="C35" s="848"/>
      <c r="D35" s="197" t="str">
        <f t="shared" si="9"/>
        <v/>
      </c>
      <c r="E35" s="688"/>
      <c r="F35" s="190">
        <f t="shared" ref="F35:S35" si="23">$E$35</f>
        <v>0</v>
      </c>
      <c r="G35" s="190">
        <f t="shared" si="23"/>
        <v>0</v>
      </c>
      <c r="H35" s="190">
        <f t="shared" si="23"/>
        <v>0</v>
      </c>
      <c r="I35" s="190">
        <f t="shared" si="23"/>
        <v>0</v>
      </c>
      <c r="J35" s="190">
        <f t="shared" si="23"/>
        <v>0</v>
      </c>
      <c r="K35" s="190">
        <f t="shared" si="23"/>
        <v>0</v>
      </c>
      <c r="L35" s="190">
        <f t="shared" si="23"/>
        <v>0</v>
      </c>
      <c r="M35" s="190">
        <f t="shared" si="23"/>
        <v>0</v>
      </c>
      <c r="N35" s="190">
        <f t="shared" si="23"/>
        <v>0</v>
      </c>
      <c r="O35" s="190">
        <f t="shared" si="23"/>
        <v>0</v>
      </c>
      <c r="P35" s="190">
        <f t="shared" si="23"/>
        <v>0</v>
      </c>
      <c r="Q35" s="190">
        <f t="shared" si="23"/>
        <v>0</v>
      </c>
      <c r="R35" s="190">
        <f t="shared" si="23"/>
        <v>0</v>
      </c>
      <c r="S35" s="190">
        <f t="shared" si="23"/>
        <v>0</v>
      </c>
    </row>
    <row r="36" spans="1:25" ht="12.75" customHeight="1" x14ac:dyDescent="0.2">
      <c r="A36" s="846" t="s">
        <v>1526</v>
      </c>
      <c r="B36" s="847"/>
      <c r="C36" s="848"/>
      <c r="D36" s="197" t="str">
        <f t="shared" si="9"/>
        <v/>
      </c>
      <c r="E36" s="688"/>
      <c r="F36" s="190">
        <f t="shared" ref="F36:S36" si="24">E36*(1+$O$7)</f>
        <v>0</v>
      </c>
      <c r="G36" s="190">
        <f t="shared" si="24"/>
        <v>0</v>
      </c>
      <c r="H36" s="190">
        <f t="shared" si="24"/>
        <v>0</v>
      </c>
      <c r="I36" s="190">
        <f t="shared" si="24"/>
        <v>0</v>
      </c>
      <c r="J36" s="190">
        <f t="shared" si="24"/>
        <v>0</v>
      </c>
      <c r="K36" s="190">
        <f t="shared" si="24"/>
        <v>0</v>
      </c>
      <c r="L36" s="190">
        <f t="shared" si="24"/>
        <v>0</v>
      </c>
      <c r="M36" s="190">
        <f t="shared" si="24"/>
        <v>0</v>
      </c>
      <c r="N36" s="190">
        <f t="shared" si="24"/>
        <v>0</v>
      </c>
      <c r="O36" s="190">
        <f t="shared" si="24"/>
        <v>0</v>
      </c>
      <c r="P36" s="190">
        <f t="shared" si="24"/>
        <v>0</v>
      </c>
      <c r="Q36" s="190">
        <f t="shared" si="24"/>
        <v>0</v>
      </c>
      <c r="R36" s="190">
        <f t="shared" si="24"/>
        <v>0</v>
      </c>
      <c r="S36" s="190">
        <f t="shared" si="24"/>
        <v>0</v>
      </c>
    </row>
    <row r="37" spans="1:25" ht="12.75" customHeight="1" x14ac:dyDescent="0.2">
      <c r="A37" s="846" t="s">
        <v>1527</v>
      </c>
      <c r="B37" s="847"/>
      <c r="C37" s="848"/>
      <c r="D37" s="197" t="str">
        <f t="shared" si="9"/>
        <v/>
      </c>
      <c r="E37" s="688"/>
      <c r="F37" s="190">
        <f t="shared" ref="F37:S37" si="25">E37*(1+$O$7)</f>
        <v>0</v>
      </c>
      <c r="G37" s="190">
        <f t="shared" si="25"/>
        <v>0</v>
      </c>
      <c r="H37" s="190">
        <f t="shared" si="25"/>
        <v>0</v>
      </c>
      <c r="I37" s="190">
        <f t="shared" si="25"/>
        <v>0</v>
      </c>
      <c r="J37" s="190">
        <f t="shared" si="25"/>
        <v>0</v>
      </c>
      <c r="K37" s="190">
        <f t="shared" si="25"/>
        <v>0</v>
      </c>
      <c r="L37" s="190">
        <f t="shared" si="25"/>
        <v>0</v>
      </c>
      <c r="M37" s="190">
        <f t="shared" si="25"/>
        <v>0</v>
      </c>
      <c r="N37" s="190">
        <f t="shared" si="25"/>
        <v>0</v>
      </c>
      <c r="O37" s="190">
        <f t="shared" si="25"/>
        <v>0</v>
      </c>
      <c r="P37" s="190">
        <f t="shared" si="25"/>
        <v>0</v>
      </c>
      <c r="Q37" s="190">
        <f t="shared" si="25"/>
        <v>0</v>
      </c>
      <c r="R37" s="190">
        <f t="shared" si="25"/>
        <v>0</v>
      </c>
      <c r="S37" s="190">
        <f t="shared" si="25"/>
        <v>0</v>
      </c>
    </row>
    <row r="38" spans="1:25" ht="12.75" customHeight="1" x14ac:dyDescent="0.2">
      <c r="A38" s="846" t="s">
        <v>1528</v>
      </c>
      <c r="B38" s="847"/>
      <c r="C38" s="848"/>
      <c r="D38" s="197" t="str">
        <f t="shared" si="9"/>
        <v/>
      </c>
      <c r="E38" s="688"/>
      <c r="F38" s="190">
        <f t="shared" ref="F38:S38" si="26">E38*(1+$O$7)</f>
        <v>0</v>
      </c>
      <c r="G38" s="190">
        <f t="shared" si="26"/>
        <v>0</v>
      </c>
      <c r="H38" s="190">
        <f t="shared" si="26"/>
        <v>0</v>
      </c>
      <c r="I38" s="190">
        <f t="shared" si="26"/>
        <v>0</v>
      </c>
      <c r="J38" s="190">
        <f t="shared" si="26"/>
        <v>0</v>
      </c>
      <c r="K38" s="190">
        <f t="shared" si="26"/>
        <v>0</v>
      </c>
      <c r="L38" s="190">
        <f t="shared" si="26"/>
        <v>0</v>
      </c>
      <c r="M38" s="190">
        <f t="shared" si="26"/>
        <v>0</v>
      </c>
      <c r="N38" s="190">
        <f t="shared" si="26"/>
        <v>0</v>
      </c>
      <c r="O38" s="190">
        <f t="shared" si="26"/>
        <v>0</v>
      </c>
      <c r="P38" s="190">
        <f t="shared" si="26"/>
        <v>0</v>
      </c>
      <c r="Q38" s="190">
        <f t="shared" si="26"/>
        <v>0</v>
      </c>
      <c r="R38" s="190">
        <f t="shared" si="26"/>
        <v>0</v>
      </c>
      <c r="S38" s="190">
        <f t="shared" si="26"/>
        <v>0</v>
      </c>
      <c r="T38" s="186" t="str">
        <f>IF(AND(E39&lt;&gt;0,A39="F. Other Income:"),"Describe Other Source of Income","")</f>
        <v/>
      </c>
    </row>
    <row r="39" spans="1:25" ht="12.75" customHeight="1" x14ac:dyDescent="0.2">
      <c r="A39" s="846" t="s">
        <v>1529</v>
      </c>
      <c r="B39" s="847"/>
      <c r="C39" s="848"/>
      <c r="D39" s="197" t="str">
        <f t="shared" si="9"/>
        <v/>
      </c>
      <c r="E39" s="688"/>
      <c r="F39" s="190">
        <f t="shared" ref="F39:S39" si="27">E39*(1+$O$7)</f>
        <v>0</v>
      </c>
      <c r="G39" s="190">
        <f t="shared" si="27"/>
        <v>0</v>
      </c>
      <c r="H39" s="190">
        <f t="shared" si="27"/>
        <v>0</v>
      </c>
      <c r="I39" s="190">
        <f t="shared" si="27"/>
        <v>0</v>
      </c>
      <c r="J39" s="190">
        <f t="shared" si="27"/>
        <v>0</v>
      </c>
      <c r="K39" s="190">
        <f t="shared" si="27"/>
        <v>0</v>
      </c>
      <c r="L39" s="190">
        <f t="shared" si="27"/>
        <v>0</v>
      </c>
      <c r="M39" s="190">
        <f t="shared" si="27"/>
        <v>0</v>
      </c>
      <c r="N39" s="190">
        <f t="shared" si="27"/>
        <v>0</v>
      </c>
      <c r="O39" s="190">
        <f t="shared" si="27"/>
        <v>0</v>
      </c>
      <c r="P39" s="190">
        <f t="shared" si="27"/>
        <v>0</v>
      </c>
      <c r="Q39" s="190">
        <f t="shared" si="27"/>
        <v>0</v>
      </c>
      <c r="R39" s="190">
        <f t="shared" si="27"/>
        <v>0</v>
      </c>
      <c r="S39" s="190">
        <f t="shared" si="27"/>
        <v>0</v>
      </c>
      <c r="T39" s="186"/>
    </row>
    <row r="40" spans="1:25" ht="12.75" customHeight="1" x14ac:dyDescent="0.2">
      <c r="A40" s="619" t="s">
        <v>1530</v>
      </c>
      <c r="B40" s="620"/>
      <c r="C40" s="621"/>
      <c r="D40" s="197"/>
      <c r="E40" s="688"/>
      <c r="F40" s="190">
        <f t="shared" ref="F40" si="28">E40*(1+$O$7)</f>
        <v>0</v>
      </c>
      <c r="G40" s="190">
        <f t="shared" ref="G40" si="29">F40*(1+$O$7)</f>
        <v>0</v>
      </c>
      <c r="H40" s="190">
        <f t="shared" ref="H40" si="30">G40*(1+$O$7)</f>
        <v>0</v>
      </c>
      <c r="I40" s="190">
        <f t="shared" ref="I40" si="31">H40*(1+$O$7)</f>
        <v>0</v>
      </c>
      <c r="J40" s="190">
        <f t="shared" ref="J40" si="32">I40*(1+$O$7)</f>
        <v>0</v>
      </c>
      <c r="K40" s="190">
        <f t="shared" ref="K40" si="33">J40*(1+$O$7)</f>
        <v>0</v>
      </c>
      <c r="L40" s="190">
        <f t="shared" ref="L40" si="34">K40*(1+$O$7)</f>
        <v>0</v>
      </c>
      <c r="M40" s="190">
        <f t="shared" ref="M40" si="35">L40*(1+$O$7)</f>
        <v>0</v>
      </c>
      <c r="N40" s="190">
        <f t="shared" ref="N40" si="36">M40*(1+$O$7)</f>
        <v>0</v>
      </c>
      <c r="O40" s="190">
        <f t="shared" ref="O40" si="37">N40*(1+$O$7)</f>
        <v>0</v>
      </c>
      <c r="P40" s="190">
        <f t="shared" ref="P40" si="38">O40*(1+$O$7)</f>
        <v>0</v>
      </c>
      <c r="Q40" s="190">
        <f t="shared" ref="Q40" si="39">P40*(1+$O$7)</f>
        <v>0</v>
      </c>
      <c r="R40" s="190">
        <f t="shared" ref="R40" si="40">Q40*(1+$O$7)</f>
        <v>0</v>
      </c>
      <c r="S40" s="190">
        <f t="shared" ref="S40" si="41">R40*(1+$O$7)</f>
        <v>0</v>
      </c>
      <c r="T40" s="186" t="str">
        <f>IF(AND(E41&lt;&gt;0,A41="F. Other Income:"),"Describe Other Source of Income","")</f>
        <v/>
      </c>
    </row>
    <row r="41" spans="1:25" ht="12.75" customHeight="1" x14ac:dyDescent="0.2">
      <c r="A41" s="619" t="s">
        <v>1531</v>
      </c>
      <c r="B41" s="834"/>
      <c r="C41" s="821"/>
      <c r="D41" s="197" t="str">
        <f t="shared" si="9"/>
        <v/>
      </c>
      <c r="E41" s="688"/>
      <c r="F41" s="190">
        <f t="shared" ref="F41:S41" si="42">E41*(1+$O$7)</f>
        <v>0</v>
      </c>
      <c r="G41" s="190">
        <f t="shared" si="42"/>
        <v>0</v>
      </c>
      <c r="H41" s="190">
        <f t="shared" si="42"/>
        <v>0</v>
      </c>
      <c r="I41" s="190">
        <f t="shared" si="42"/>
        <v>0</v>
      </c>
      <c r="J41" s="190">
        <f t="shared" si="42"/>
        <v>0</v>
      </c>
      <c r="K41" s="190">
        <f t="shared" si="42"/>
        <v>0</v>
      </c>
      <c r="L41" s="190">
        <f t="shared" si="42"/>
        <v>0</v>
      </c>
      <c r="M41" s="190">
        <f t="shared" si="42"/>
        <v>0</v>
      </c>
      <c r="N41" s="190">
        <f t="shared" si="42"/>
        <v>0</v>
      </c>
      <c r="O41" s="190">
        <f t="shared" si="42"/>
        <v>0</v>
      </c>
      <c r="P41" s="190">
        <f t="shared" si="42"/>
        <v>0</v>
      </c>
      <c r="Q41" s="190">
        <f t="shared" si="42"/>
        <v>0</v>
      </c>
      <c r="R41" s="190">
        <f t="shared" si="42"/>
        <v>0</v>
      </c>
      <c r="S41" s="190">
        <f t="shared" si="42"/>
        <v>0</v>
      </c>
      <c r="T41" s="186" t="str">
        <f>IF(AND(E42&lt;&gt;0,A42="F. Other Income:"),"Describe Other Source of Income","")</f>
        <v/>
      </c>
      <c r="X41" s="186"/>
      <c r="Y41" s="186"/>
    </row>
    <row r="42" spans="1:25" ht="12.75" customHeight="1" x14ac:dyDescent="0.2">
      <c r="A42" s="619" t="s">
        <v>1532</v>
      </c>
      <c r="B42" s="834"/>
      <c r="C42" s="821"/>
      <c r="D42" s="197" t="str">
        <f t="shared" si="9"/>
        <v/>
      </c>
      <c r="E42" s="688"/>
      <c r="F42" s="184">
        <f t="shared" ref="F42:S42" si="43">E42*(1+$O$7)</f>
        <v>0</v>
      </c>
      <c r="G42" s="184">
        <f t="shared" si="43"/>
        <v>0</v>
      </c>
      <c r="H42" s="184">
        <f t="shared" si="43"/>
        <v>0</v>
      </c>
      <c r="I42" s="184">
        <f t="shared" si="43"/>
        <v>0</v>
      </c>
      <c r="J42" s="184">
        <f t="shared" si="43"/>
        <v>0</v>
      </c>
      <c r="K42" s="184">
        <f t="shared" si="43"/>
        <v>0</v>
      </c>
      <c r="L42" s="184">
        <f t="shared" si="43"/>
        <v>0</v>
      </c>
      <c r="M42" s="184">
        <f t="shared" si="43"/>
        <v>0</v>
      </c>
      <c r="N42" s="184">
        <f t="shared" si="43"/>
        <v>0</v>
      </c>
      <c r="O42" s="184">
        <f t="shared" si="43"/>
        <v>0</v>
      </c>
      <c r="P42" s="184">
        <f t="shared" si="43"/>
        <v>0</v>
      </c>
      <c r="Q42" s="184">
        <f t="shared" si="43"/>
        <v>0</v>
      </c>
      <c r="R42" s="184">
        <f t="shared" si="43"/>
        <v>0</v>
      </c>
      <c r="S42" s="184">
        <f t="shared" si="43"/>
        <v>0</v>
      </c>
      <c r="T42" s="198" t="str">
        <f>IF(OR(AND(E43&gt;0,X42&gt;0),(AND(E43&gt;0,Y42&gt;0))),"Check 'Sources of Funds' for possible tax abatements","")</f>
        <v/>
      </c>
      <c r="X42" s="199"/>
      <c r="Y42" s="199"/>
    </row>
    <row r="43" spans="1:25" ht="12.75" customHeight="1" x14ac:dyDescent="0.2">
      <c r="A43" s="815" t="s">
        <v>1533</v>
      </c>
      <c r="B43" s="816"/>
      <c r="C43" s="817"/>
      <c r="D43" s="197" t="str">
        <f t="shared" si="9"/>
        <v/>
      </c>
      <c r="E43" s="687"/>
      <c r="F43" s="184">
        <f t="shared" ref="F43:S43" si="44">E43*(1+$O$7)</f>
        <v>0</v>
      </c>
      <c r="G43" s="184">
        <f t="shared" si="44"/>
        <v>0</v>
      </c>
      <c r="H43" s="184">
        <f t="shared" si="44"/>
        <v>0</v>
      </c>
      <c r="I43" s="184">
        <f t="shared" si="44"/>
        <v>0</v>
      </c>
      <c r="J43" s="184">
        <f t="shared" si="44"/>
        <v>0</v>
      </c>
      <c r="K43" s="184">
        <f t="shared" si="44"/>
        <v>0</v>
      </c>
      <c r="L43" s="184">
        <f t="shared" si="44"/>
        <v>0</v>
      </c>
      <c r="M43" s="184">
        <f t="shared" si="44"/>
        <v>0</v>
      </c>
      <c r="N43" s="184">
        <f t="shared" si="44"/>
        <v>0</v>
      </c>
      <c r="O43" s="184">
        <f t="shared" si="44"/>
        <v>0</v>
      </c>
      <c r="P43" s="184">
        <f t="shared" si="44"/>
        <v>0</v>
      </c>
      <c r="Q43" s="184">
        <f t="shared" si="44"/>
        <v>0</v>
      </c>
      <c r="R43" s="184">
        <f t="shared" si="44"/>
        <v>0</v>
      </c>
      <c r="S43" s="184">
        <f t="shared" si="44"/>
        <v>0</v>
      </c>
    </row>
    <row r="44" spans="1:25" ht="12.75" customHeight="1" x14ac:dyDescent="0.2">
      <c r="A44" s="815" t="s">
        <v>1534</v>
      </c>
      <c r="B44" s="816"/>
      <c r="C44" s="817"/>
      <c r="D44" s="197" t="str">
        <f t="shared" si="9"/>
        <v/>
      </c>
      <c r="E44" s="687"/>
      <c r="F44" s="184">
        <f t="shared" ref="F44:S44" si="45">E44*(1+$O$7)</f>
        <v>0</v>
      </c>
      <c r="G44" s="184">
        <f t="shared" si="45"/>
        <v>0</v>
      </c>
      <c r="H44" s="184">
        <f t="shared" si="45"/>
        <v>0</v>
      </c>
      <c r="I44" s="184">
        <f t="shared" si="45"/>
        <v>0</v>
      </c>
      <c r="J44" s="184">
        <f t="shared" si="45"/>
        <v>0</v>
      </c>
      <c r="K44" s="184">
        <f t="shared" si="45"/>
        <v>0</v>
      </c>
      <c r="L44" s="184">
        <f t="shared" si="45"/>
        <v>0</v>
      </c>
      <c r="M44" s="184">
        <f t="shared" si="45"/>
        <v>0</v>
      </c>
      <c r="N44" s="184">
        <f t="shared" si="45"/>
        <v>0</v>
      </c>
      <c r="O44" s="184">
        <f t="shared" si="45"/>
        <v>0</v>
      </c>
      <c r="P44" s="184">
        <f t="shared" si="45"/>
        <v>0</v>
      </c>
      <c r="Q44" s="184">
        <f t="shared" si="45"/>
        <v>0</v>
      </c>
      <c r="R44" s="184">
        <f t="shared" si="45"/>
        <v>0</v>
      </c>
      <c r="S44" s="184">
        <f t="shared" si="45"/>
        <v>0</v>
      </c>
      <c r="T44" s="186" t="str">
        <f>IF(AND(E45&lt;&gt;0,A45="F. Other Income:"),"Describe Other Source of Income","")</f>
        <v/>
      </c>
    </row>
    <row r="45" spans="1:25" ht="12.75" customHeight="1" x14ac:dyDescent="0.2">
      <c r="A45" s="574" t="s">
        <v>1531</v>
      </c>
      <c r="B45" s="834"/>
      <c r="C45" s="821"/>
      <c r="D45" s="197" t="str">
        <f t="shared" si="9"/>
        <v/>
      </c>
      <c r="E45" s="181"/>
      <c r="F45" s="184">
        <f t="shared" ref="F45:S45" si="46">E45*(1+$O$7)</f>
        <v>0</v>
      </c>
      <c r="G45" s="184">
        <f t="shared" si="46"/>
        <v>0</v>
      </c>
      <c r="H45" s="184">
        <f t="shared" si="46"/>
        <v>0</v>
      </c>
      <c r="I45" s="184">
        <f t="shared" si="46"/>
        <v>0</v>
      </c>
      <c r="J45" s="184">
        <f t="shared" si="46"/>
        <v>0</v>
      </c>
      <c r="K45" s="184">
        <f t="shared" si="46"/>
        <v>0</v>
      </c>
      <c r="L45" s="184">
        <f t="shared" si="46"/>
        <v>0</v>
      </c>
      <c r="M45" s="184">
        <f t="shared" si="46"/>
        <v>0</v>
      </c>
      <c r="N45" s="184">
        <f t="shared" si="46"/>
        <v>0</v>
      </c>
      <c r="O45" s="184">
        <f t="shared" si="46"/>
        <v>0</v>
      </c>
      <c r="P45" s="184">
        <f t="shared" si="46"/>
        <v>0</v>
      </c>
      <c r="Q45" s="184">
        <f t="shared" si="46"/>
        <v>0</v>
      </c>
      <c r="R45" s="184">
        <f t="shared" si="46"/>
        <v>0</v>
      </c>
      <c r="S45" s="184">
        <f t="shared" si="46"/>
        <v>0</v>
      </c>
    </row>
    <row r="46" spans="1:25" s="579" customFormat="1" ht="12.75" customHeight="1" x14ac:dyDescent="0.2">
      <c r="A46" s="854" t="s">
        <v>505</v>
      </c>
      <c r="B46" s="855"/>
      <c r="C46" s="856"/>
      <c r="D46" s="580" t="str">
        <f>IF(OR(E46=0,E46=""),"",ROUND((E46/E5),0))</f>
        <v/>
      </c>
      <c r="E46" s="200">
        <f>SUM(E22:E45)</f>
        <v>0</v>
      </c>
      <c r="F46" s="200">
        <f t="shared" ref="F46:S46" si="47">SUM(F22:F45)</f>
        <v>0</v>
      </c>
      <c r="G46" s="200">
        <f t="shared" si="47"/>
        <v>0</v>
      </c>
      <c r="H46" s="200">
        <f t="shared" si="47"/>
        <v>0</v>
      </c>
      <c r="I46" s="200">
        <f t="shared" si="47"/>
        <v>0</v>
      </c>
      <c r="J46" s="200">
        <f t="shared" si="47"/>
        <v>0</v>
      </c>
      <c r="K46" s="200">
        <f t="shared" si="47"/>
        <v>0</v>
      </c>
      <c r="L46" s="200">
        <f t="shared" si="47"/>
        <v>0</v>
      </c>
      <c r="M46" s="200">
        <f t="shared" si="47"/>
        <v>0</v>
      </c>
      <c r="N46" s="200">
        <f t="shared" si="47"/>
        <v>0</v>
      </c>
      <c r="O46" s="200">
        <f t="shared" si="47"/>
        <v>0</v>
      </c>
      <c r="P46" s="200">
        <f t="shared" si="47"/>
        <v>0</v>
      </c>
      <c r="Q46" s="200">
        <f t="shared" si="47"/>
        <v>0</v>
      </c>
      <c r="R46" s="200">
        <f t="shared" si="47"/>
        <v>0</v>
      </c>
      <c r="S46" s="200">
        <f t="shared" si="47"/>
        <v>0</v>
      </c>
    </row>
    <row r="47" spans="1:25" ht="12.75" customHeight="1" thickBot="1" x14ac:dyDescent="0.25">
      <c r="A47" s="576"/>
      <c r="B47" s="576"/>
      <c r="C47" s="581"/>
      <c r="D47" s="582"/>
      <c r="E47" s="578"/>
      <c r="F47" s="577"/>
      <c r="G47" s="577"/>
      <c r="H47" s="577"/>
      <c r="I47" s="577"/>
      <c r="J47" s="577"/>
      <c r="K47" s="577"/>
      <c r="L47" s="577"/>
      <c r="M47" s="577"/>
      <c r="N47" s="578"/>
      <c r="O47" s="578"/>
      <c r="P47" s="578"/>
      <c r="Q47" s="578"/>
      <c r="R47" s="578"/>
      <c r="S47" s="583"/>
      <c r="V47" s="182">
        <f>SUM(E49:S49)</f>
        <v>0</v>
      </c>
      <c r="W47" s="149" t="s">
        <v>1142</v>
      </c>
    </row>
    <row r="48" spans="1:25" ht="12.75" customHeight="1" thickBot="1" x14ac:dyDescent="0.25">
      <c r="A48" s="827" t="s">
        <v>1535</v>
      </c>
      <c r="B48" s="816"/>
      <c r="C48" s="849" t="s">
        <v>537</v>
      </c>
      <c r="D48" s="850"/>
      <c r="E48" s="201"/>
      <c r="F48" s="176"/>
      <c r="G48" s="176"/>
      <c r="H48" s="176"/>
      <c r="I48" s="176"/>
      <c r="J48" s="176"/>
      <c r="K48" s="176"/>
      <c r="L48" s="176"/>
      <c r="M48" s="176"/>
      <c r="N48" s="176"/>
      <c r="O48" s="176"/>
      <c r="P48" s="176"/>
      <c r="Q48" s="176"/>
      <c r="R48" s="176"/>
      <c r="S48" s="584"/>
      <c r="T48" s="186" t="str">
        <f>IF(AND(E50&lt;&gt;0,A50="F. Other Income:"),"Describe Other Source of Income","")</f>
        <v/>
      </c>
      <c r="V48" s="182">
        <f>SUM(E50:S50)</f>
        <v>0</v>
      </c>
      <c r="W48" s="149" t="s">
        <v>1141</v>
      </c>
    </row>
    <row r="49" spans="1:23" ht="12.75" customHeight="1" x14ac:dyDescent="0.2">
      <c r="A49" s="822" t="s">
        <v>1536</v>
      </c>
      <c r="B49" s="823"/>
      <c r="C49" s="817"/>
      <c r="D49" s="197" t="str">
        <f t="shared" ref="D49:D50" si="48">IF(OR(E49=0,E49=""),"",(E49/12)/$E$5)</f>
        <v/>
      </c>
      <c r="E49" s="202"/>
      <c r="F49" s="184">
        <f>E49*(1+$E$48)</f>
        <v>0</v>
      </c>
      <c r="G49" s="184">
        <f>F49*(1+$E$48)</f>
        <v>0</v>
      </c>
      <c r="H49" s="184">
        <f t="shared" ref="H49:S50" si="49">G49*(1+$E$48)</f>
        <v>0</v>
      </c>
      <c r="I49" s="184">
        <f t="shared" si="49"/>
        <v>0</v>
      </c>
      <c r="J49" s="184">
        <f t="shared" si="49"/>
        <v>0</v>
      </c>
      <c r="K49" s="184">
        <f t="shared" si="49"/>
        <v>0</v>
      </c>
      <c r="L49" s="184">
        <f t="shared" si="49"/>
        <v>0</v>
      </c>
      <c r="M49" s="184">
        <f t="shared" si="49"/>
        <v>0</v>
      </c>
      <c r="N49" s="184">
        <f t="shared" si="49"/>
        <v>0</v>
      </c>
      <c r="O49" s="184">
        <f t="shared" si="49"/>
        <v>0</v>
      </c>
      <c r="P49" s="184">
        <f t="shared" si="49"/>
        <v>0</v>
      </c>
      <c r="Q49" s="184">
        <f t="shared" si="49"/>
        <v>0</v>
      </c>
      <c r="R49" s="184">
        <f t="shared" si="49"/>
        <v>0</v>
      </c>
      <c r="S49" s="184">
        <f t="shared" si="49"/>
        <v>0</v>
      </c>
    </row>
    <row r="50" spans="1:23" ht="12.75" customHeight="1" x14ac:dyDescent="0.2">
      <c r="A50" s="619" t="s">
        <v>1537</v>
      </c>
      <c r="B50" s="820"/>
      <c r="C50" s="821"/>
      <c r="D50" s="197" t="str">
        <f t="shared" si="48"/>
        <v/>
      </c>
      <c r="E50" s="181"/>
      <c r="F50" s="184">
        <f>E50*(1+$E$48)</f>
        <v>0</v>
      </c>
      <c r="G50" s="184">
        <f t="shared" ref="G50" si="50">F50*(1+$E$48)</f>
        <v>0</v>
      </c>
      <c r="H50" s="184">
        <f t="shared" si="49"/>
        <v>0</v>
      </c>
      <c r="I50" s="184">
        <f t="shared" si="49"/>
        <v>0</v>
      </c>
      <c r="J50" s="184">
        <f t="shared" si="49"/>
        <v>0</v>
      </c>
      <c r="K50" s="184">
        <f t="shared" si="49"/>
        <v>0</v>
      </c>
      <c r="L50" s="184">
        <f t="shared" si="49"/>
        <v>0</v>
      </c>
      <c r="M50" s="184">
        <f t="shared" si="49"/>
        <v>0</v>
      </c>
      <c r="N50" s="184">
        <f t="shared" si="49"/>
        <v>0</v>
      </c>
      <c r="O50" s="184">
        <f t="shared" si="49"/>
        <v>0</v>
      </c>
      <c r="P50" s="184">
        <f t="shared" si="49"/>
        <v>0</v>
      </c>
      <c r="Q50" s="184">
        <f t="shared" si="49"/>
        <v>0</v>
      </c>
      <c r="R50" s="184">
        <f t="shared" si="49"/>
        <v>0</v>
      </c>
      <c r="S50" s="184">
        <f t="shared" si="49"/>
        <v>0</v>
      </c>
    </row>
    <row r="51" spans="1:23" ht="12.75" customHeight="1" x14ac:dyDescent="0.2">
      <c r="A51" s="824" t="s">
        <v>1554</v>
      </c>
      <c r="B51" s="825"/>
      <c r="C51" s="825"/>
      <c r="D51" s="826"/>
      <c r="E51" s="179">
        <f t="shared" ref="E51:S51" si="51">SUM(E49:E50,E46)</f>
        <v>0</v>
      </c>
      <c r="F51" s="190">
        <f t="shared" si="51"/>
        <v>0</v>
      </c>
      <c r="G51" s="190">
        <f t="shared" si="51"/>
        <v>0</v>
      </c>
      <c r="H51" s="190">
        <f t="shared" si="51"/>
        <v>0</v>
      </c>
      <c r="I51" s="190">
        <f t="shared" si="51"/>
        <v>0</v>
      </c>
      <c r="J51" s="190">
        <f t="shared" si="51"/>
        <v>0</v>
      </c>
      <c r="K51" s="190">
        <f t="shared" si="51"/>
        <v>0</v>
      </c>
      <c r="L51" s="190">
        <f t="shared" si="51"/>
        <v>0</v>
      </c>
      <c r="M51" s="190">
        <f t="shared" si="51"/>
        <v>0</v>
      </c>
      <c r="N51" s="190">
        <f t="shared" si="51"/>
        <v>0</v>
      </c>
      <c r="O51" s="190">
        <f t="shared" si="51"/>
        <v>0</v>
      </c>
      <c r="P51" s="190">
        <f t="shared" si="51"/>
        <v>0</v>
      </c>
      <c r="Q51" s="190">
        <f t="shared" si="51"/>
        <v>0</v>
      </c>
      <c r="R51" s="190">
        <f t="shared" si="51"/>
        <v>0</v>
      </c>
      <c r="S51" s="190">
        <f t="shared" si="51"/>
        <v>0</v>
      </c>
      <c r="T51" s="203"/>
    </row>
    <row r="52" spans="1:23" ht="12.75" customHeight="1" x14ac:dyDescent="0.2">
      <c r="A52" s="824" t="s">
        <v>1546</v>
      </c>
      <c r="B52" s="827"/>
      <c r="C52" s="827"/>
      <c r="D52" s="828"/>
      <c r="E52" s="179">
        <f t="shared" ref="E52:S52" si="52">E19-E51</f>
        <v>0</v>
      </c>
      <c r="F52" s="190">
        <f t="shared" si="52"/>
        <v>0</v>
      </c>
      <c r="G52" s="190">
        <f t="shared" si="52"/>
        <v>0</v>
      </c>
      <c r="H52" s="190">
        <f t="shared" si="52"/>
        <v>0</v>
      </c>
      <c r="I52" s="190">
        <f t="shared" si="52"/>
        <v>0</v>
      </c>
      <c r="J52" s="190">
        <f t="shared" si="52"/>
        <v>0</v>
      </c>
      <c r="K52" s="190">
        <f t="shared" si="52"/>
        <v>0</v>
      </c>
      <c r="L52" s="190">
        <f t="shared" si="52"/>
        <v>0</v>
      </c>
      <c r="M52" s="190">
        <f t="shared" si="52"/>
        <v>0</v>
      </c>
      <c r="N52" s="190">
        <f t="shared" si="52"/>
        <v>0</v>
      </c>
      <c r="O52" s="190">
        <f t="shared" si="52"/>
        <v>0</v>
      </c>
      <c r="P52" s="190">
        <f t="shared" si="52"/>
        <v>0</v>
      </c>
      <c r="Q52" s="190">
        <f t="shared" si="52"/>
        <v>0</v>
      </c>
      <c r="R52" s="190">
        <f t="shared" si="52"/>
        <v>0</v>
      </c>
      <c r="S52" s="190">
        <f t="shared" si="52"/>
        <v>0</v>
      </c>
      <c r="T52" s="203"/>
    </row>
    <row r="53" spans="1:23" ht="12.75" customHeight="1" x14ac:dyDescent="0.2">
      <c r="A53" s="612"/>
      <c r="B53" s="613"/>
      <c r="C53" s="613"/>
      <c r="D53" s="613"/>
      <c r="E53" s="494"/>
      <c r="F53" s="494"/>
      <c r="G53" s="494"/>
      <c r="H53" s="494"/>
      <c r="I53" s="494"/>
      <c r="J53" s="494"/>
      <c r="K53" s="494"/>
      <c r="L53" s="494"/>
      <c r="M53" s="494"/>
      <c r="N53" s="494"/>
      <c r="O53" s="494"/>
      <c r="P53" s="494"/>
      <c r="Q53" s="494"/>
      <c r="R53" s="494"/>
      <c r="S53" s="575"/>
      <c r="V53" s="182">
        <f>SUM(E58:S58)</f>
        <v>0</v>
      </c>
      <c r="W53" s="149" t="s">
        <v>1143</v>
      </c>
    </row>
    <row r="54" spans="1:23" ht="12.75" customHeight="1" x14ac:dyDescent="0.2">
      <c r="A54" s="615" t="s">
        <v>1538</v>
      </c>
      <c r="B54" s="616"/>
      <c r="C54" s="616"/>
      <c r="D54" s="616"/>
      <c r="E54" s="494"/>
      <c r="F54" s="494"/>
      <c r="G54" s="494"/>
      <c r="H54" s="494"/>
      <c r="I54" s="494"/>
      <c r="J54" s="494"/>
      <c r="K54" s="494"/>
      <c r="L54" s="494"/>
      <c r="M54" s="494"/>
      <c r="N54" s="494"/>
      <c r="O54" s="494"/>
      <c r="P54" s="494"/>
      <c r="Q54" s="494"/>
      <c r="R54" s="494"/>
      <c r="S54" s="575"/>
      <c r="V54" s="182"/>
    </row>
    <row r="55" spans="1:23" ht="12.75" customHeight="1" x14ac:dyDescent="0.2">
      <c r="A55" s="815" t="s">
        <v>1563</v>
      </c>
      <c r="B55" s="829"/>
      <c r="C55" s="829"/>
      <c r="D55" s="830"/>
      <c r="E55" s="179">
        <f>'Sources of Funds Worksheet'!W20</f>
        <v>0</v>
      </c>
      <c r="F55" s="179">
        <f>'Sources of Funds Worksheet'!X20</f>
        <v>0</v>
      </c>
      <c r="G55" s="179">
        <f>'Sources of Funds Worksheet'!Y20</f>
        <v>0</v>
      </c>
      <c r="H55" s="179">
        <f>'Sources of Funds Worksheet'!Z20</f>
        <v>0</v>
      </c>
      <c r="I55" s="179">
        <f>'Sources of Funds Worksheet'!AA20</f>
        <v>0</v>
      </c>
      <c r="J55" s="179">
        <f>'Sources of Funds Worksheet'!AB20</f>
        <v>0</v>
      </c>
      <c r="K55" s="179">
        <f>'Sources of Funds Worksheet'!AC20</f>
        <v>0</v>
      </c>
      <c r="L55" s="179">
        <f>'Sources of Funds Worksheet'!AD20</f>
        <v>0</v>
      </c>
      <c r="M55" s="179">
        <f>'Sources of Funds Worksheet'!AE20</f>
        <v>0</v>
      </c>
      <c r="N55" s="179">
        <f>'Sources of Funds Worksheet'!AF20</f>
        <v>0</v>
      </c>
      <c r="O55" s="179">
        <f>'Sources of Funds Worksheet'!AG20</f>
        <v>0</v>
      </c>
      <c r="P55" s="179">
        <f>'Sources of Funds Worksheet'!AH20</f>
        <v>0</v>
      </c>
      <c r="Q55" s="179">
        <f>'Sources of Funds Worksheet'!AI20</f>
        <v>0</v>
      </c>
      <c r="R55" s="179">
        <f>'Sources of Funds Worksheet'!AJ20</f>
        <v>0</v>
      </c>
      <c r="S55" s="179">
        <f>'Sources of Funds Worksheet'!AK20</f>
        <v>0</v>
      </c>
      <c r="V55" s="204" t="str">
        <f>IF(ABS(V53-'Sources of Funds Worksheet'!D10)&lt;=1,"TRUE","FALSE")</f>
        <v>TRUE</v>
      </c>
      <c r="W55" s="149" t="s">
        <v>1144</v>
      </c>
    </row>
    <row r="56" spans="1:23" ht="12.75" customHeight="1" x14ac:dyDescent="0.2">
      <c r="A56" s="614" t="s">
        <v>1542</v>
      </c>
      <c r="B56" s="617"/>
      <c r="C56" s="617"/>
      <c r="D56" s="618"/>
      <c r="E56" s="179">
        <f>'Sources of Funds Worksheet'!W26</f>
        <v>0</v>
      </c>
      <c r="F56" s="179">
        <f>'Sources of Funds Worksheet'!X26</f>
        <v>0</v>
      </c>
      <c r="G56" s="179">
        <f>'Sources of Funds Worksheet'!Y26</f>
        <v>0</v>
      </c>
      <c r="H56" s="179">
        <f>'Sources of Funds Worksheet'!Z26</f>
        <v>0</v>
      </c>
      <c r="I56" s="179">
        <f>'Sources of Funds Worksheet'!AA26</f>
        <v>0</v>
      </c>
      <c r="J56" s="179">
        <f>'Sources of Funds Worksheet'!AB26</f>
        <v>0</v>
      </c>
      <c r="K56" s="179">
        <f>'Sources of Funds Worksheet'!AC26</f>
        <v>0</v>
      </c>
      <c r="L56" s="179">
        <f>'Sources of Funds Worksheet'!AD26</f>
        <v>0</v>
      </c>
      <c r="M56" s="179">
        <f>'Sources of Funds Worksheet'!AE26</f>
        <v>0</v>
      </c>
      <c r="N56" s="179">
        <f>'Sources of Funds Worksheet'!AF26</f>
        <v>0</v>
      </c>
      <c r="O56" s="179">
        <f>'Sources of Funds Worksheet'!AG26</f>
        <v>0</v>
      </c>
      <c r="P56" s="179">
        <f>'Sources of Funds Worksheet'!AH26</f>
        <v>0</v>
      </c>
      <c r="Q56" s="179">
        <f>'Sources of Funds Worksheet'!AI26</f>
        <v>0</v>
      </c>
      <c r="R56" s="179">
        <f>'Sources of Funds Worksheet'!AJ26</f>
        <v>0</v>
      </c>
      <c r="S56" s="179">
        <f>'Sources of Funds Worksheet'!AK26</f>
        <v>0</v>
      </c>
      <c r="V56" s="205" t="e">
        <f>S67/E5</f>
        <v>#DIV/0!</v>
      </c>
      <c r="W56" s="149" t="s">
        <v>1157</v>
      </c>
    </row>
    <row r="57" spans="1:23" ht="12.75" customHeight="1" x14ac:dyDescent="0.2">
      <c r="A57" s="831" t="s">
        <v>1544</v>
      </c>
      <c r="B57" s="832"/>
      <c r="C57" s="832"/>
      <c r="D57" s="833"/>
      <c r="E57" s="179">
        <f t="shared" ref="E57:S57" si="53">E52-E55-E56</f>
        <v>0</v>
      </c>
      <c r="F57" s="179">
        <f t="shared" si="53"/>
        <v>0</v>
      </c>
      <c r="G57" s="179">
        <f t="shared" si="53"/>
        <v>0</v>
      </c>
      <c r="H57" s="179">
        <f t="shared" si="53"/>
        <v>0</v>
      </c>
      <c r="I57" s="179">
        <f t="shared" si="53"/>
        <v>0</v>
      </c>
      <c r="J57" s="179">
        <f t="shared" si="53"/>
        <v>0</v>
      </c>
      <c r="K57" s="179">
        <f t="shared" si="53"/>
        <v>0</v>
      </c>
      <c r="L57" s="179">
        <f t="shared" si="53"/>
        <v>0</v>
      </c>
      <c r="M57" s="179">
        <f t="shared" si="53"/>
        <v>0</v>
      </c>
      <c r="N57" s="179">
        <f t="shared" si="53"/>
        <v>0</v>
      </c>
      <c r="O57" s="179">
        <f t="shared" si="53"/>
        <v>0</v>
      </c>
      <c r="P57" s="179">
        <f t="shared" si="53"/>
        <v>0</v>
      </c>
      <c r="Q57" s="179">
        <f t="shared" si="53"/>
        <v>0</v>
      </c>
      <c r="R57" s="179">
        <f t="shared" si="53"/>
        <v>0</v>
      </c>
      <c r="S57" s="179">
        <f t="shared" si="53"/>
        <v>0</v>
      </c>
      <c r="V57" s="207">
        <f>IF(E19=0,0,(E46+E49+E50+E55+E58)/E19)</f>
        <v>0</v>
      </c>
      <c r="W57" s="149" t="s">
        <v>1139</v>
      </c>
    </row>
    <row r="58" spans="1:23" ht="12.75" customHeight="1" x14ac:dyDescent="0.2">
      <c r="A58" s="815" t="s">
        <v>1558</v>
      </c>
      <c r="B58" s="829"/>
      <c r="C58" s="829"/>
      <c r="D58" s="830"/>
      <c r="E58" s="184">
        <f>IF(E57-E59-E60&lt;0,0,IF((E57-E59-E60)&gt;='Sources of Funds Worksheet'!$D$10,'Sources of Funds Worksheet'!$D$10,(E57-E59-E60)))</f>
        <v>0</v>
      </c>
      <c r="F58" s="184">
        <f>IF(F57-F59-F60&lt;0,0,IF(E58&gt;='Sources of Funds Worksheet'!$D$10,0,IF((F57-F59-F60)&gt;('Sources of Funds Worksheet'!$D$10-E58),('Sources of Funds Worksheet'!$D$10-E58),F57-F59-F60)))</f>
        <v>0</v>
      </c>
      <c r="G58" s="184">
        <f>IF(G57-G59-G60&lt;0,0,IF(SUM(F58+E58)&gt;='Sources of Funds Worksheet'!$D$10,0,IF((G57-G59-G60)&gt;('Sources of Funds Worksheet'!$D$10-(F58+E58)),('Sources of Funds Worksheet'!$D$10-(F58+E58)),G57-G59-G60)))</f>
        <v>0</v>
      </c>
      <c r="H58" s="184">
        <f>IF(H57-H59-H60&lt;0,0,IF((F58+E58+G58)&gt;='Sources of Funds Worksheet'!$D$10,0,IF((H57-H59-H60)&gt;('Sources of Funds Worksheet'!$D$10-(F58+E58+G58)),('Sources of Funds Worksheet'!$D$10-(F58+E58+G58)),H57-H59-H60)))</f>
        <v>0</v>
      </c>
      <c r="I58" s="184">
        <f>IF(I57-I59-I60&lt;0,0,IF((F58+E58+G58+H58)&gt;='Sources of Funds Worksheet'!$D$10,0,IF((I57-I59-I60)&gt;('Sources of Funds Worksheet'!$D$10-(F58+E58+G58+H58)),('Sources of Funds Worksheet'!$D$10-(F58+E58+G58+H58)),I57-I59-I60)))</f>
        <v>0</v>
      </c>
      <c r="J58" s="184">
        <f>IF(J57-J59-J60&lt;0,0,IF((F58+E58+G58+H58+I58)&gt;='Sources of Funds Worksheet'!$D$10,0,IF((J57-J59-J60)&gt;('Sources of Funds Worksheet'!$D$10-(F58+E58+G58+H58+I58)),('Sources of Funds Worksheet'!$D$10-(F58+E58+G58+H58+I58)),J57-J59-J60)))</f>
        <v>0</v>
      </c>
      <c r="K58" s="184">
        <f>IF(K57-K59-K60&lt;0,0,IF((F58+E58+G58+H58+I58+J58)&gt;='Sources of Funds Worksheet'!$D$10,0,IF((K57-K59-K60)&gt;('Sources of Funds Worksheet'!$D$10-(F58+E58+G58+H58+I58+J58)),('Sources of Funds Worksheet'!$D$10-(F58+E58+G58+H58+I58+J58)),K57-K59-K60)))</f>
        <v>0</v>
      </c>
      <c r="L58" s="184">
        <f>IF(L57-L59-L60&lt;0,0,IF((F58+E58+G58+H58+I58+J58+K58)&gt;='Sources of Funds Worksheet'!$D$10,0,IF((L57-L59-L60)&gt;('Sources of Funds Worksheet'!$D$10-(F58+E58+G58+H58+I58+J58+K58)),('Sources of Funds Worksheet'!$D$10-(F58+E58+G58+H58+I58+J58+K58)),L57-L59-L60)))</f>
        <v>0</v>
      </c>
      <c r="M58" s="184">
        <f>IF(M57-M59-M60&lt;0,0,IF((F58+E58+G58+H58+I58+J58+K58+L58)&gt;='Sources of Funds Worksheet'!$D$10,0,IF((M57-M59-M60)&gt;('Sources of Funds Worksheet'!$D$10-(F58+E58+G58+H58+I58+J58+K58+L58)),('Sources of Funds Worksheet'!$D$10-(F58+E58+G58+H58+I58+J58+K58+L58)),M57-M59-M60)))</f>
        <v>0</v>
      </c>
      <c r="N58" s="184">
        <f>IF(N57-N59-N60&lt;0,0,IF((F58+E58+G58+H58+I58+J58+K58+L58+M58)&gt;='Sources of Funds Worksheet'!$D$10,0,IF((N57-N59-N60)&gt;('Sources of Funds Worksheet'!$D$10-(F58+E58+G58+H58+I58+J58+K58+L58+M58)),('Sources of Funds Worksheet'!$D$10-(F58+E58+G58+H58+I58+J58+K58+L58+M58)),N57-N59-N60)))</f>
        <v>0</v>
      </c>
      <c r="O58" s="184">
        <f>IF(O57-O59-O60&lt;0,0,IF((F58+E58+G58+H58+I58+J58+K58+L58+M58+N58)&gt;='Sources of Funds Worksheet'!$D$10,0,IF((O57-O59-O60)&gt;('Sources of Funds Worksheet'!$D$10-(F58+E58+G58+H58+I58+J58+K58+L58+M58+N58)),('Sources of Funds Worksheet'!$D$10-(F58+E58+G58+H58+I58+J58+K58+L58+M58+N58)),O57-O59-O60)))</f>
        <v>0</v>
      </c>
      <c r="P58" s="184">
        <f>IF(P57-P59-P60&lt;0,0,IF((F58+E58+G58+H58+I58+J58+K58+L58+M58+N58+O58)&gt;='Sources of Funds Worksheet'!$D$10,0,IF((P57-P59-P60)&gt;('Sources of Funds Worksheet'!$D$10-(F58+E58+G58+H58+I58+J58+K58+L58+M58+N58+O58)),('Sources of Funds Worksheet'!$D$10-(F58+E58+G58+H58+I58+J58+K58+L58+M58+N58+O58)),P57-P59-P60)))</f>
        <v>0</v>
      </c>
      <c r="Q58" s="184">
        <f>IF(Q57-Q59-Q60&lt;0,0,IF((F58+E58+G58+H58+I58+J58+K58+L58+M58+N58+O58+P58)&gt;='Sources of Funds Worksheet'!$D$10,0,IF((Q57-Q59-Q60)&gt;('Sources of Funds Worksheet'!$D$10-(F58+E58+G58+H58+I58+J58+K58+L58+M58+N58+O58+P58)),('Sources of Funds Worksheet'!$D$10-(F58+E58+G58+H58+I58+J58+K58+L58+M58+N58+O58+P58)),Q57-Q59-Q60)))</f>
        <v>0</v>
      </c>
      <c r="R58" s="184">
        <f>IF(R57-R59-R60&lt;0,0,IF((F58+E58+G58+H58+I58+J58+K58+L58+M58+N58+O58+P58+Q58)&gt;='Sources of Funds Worksheet'!$D$10,0,IF((R57-R59-R60)&gt;('Sources of Funds Worksheet'!$D$10-(F58+E58+G58+H58+I58+J58+K58+L58+M58+N58+O58+P58+Q58)),('Sources of Funds Worksheet'!$D$10-(F58+E58+G58+H58+I58+J58+K58+L58+M58+N58+O58+P58+Q58)),R57-R59-R60)))</f>
        <v>0</v>
      </c>
      <c r="S58" s="184">
        <f>IF(S57-S59-S60&lt;0,0,IF((F58+E58+G58+H58+I58+J58+K58+L58+M58+N58+O58+P58+Q58+R58)&gt;='Sources of Funds Worksheet'!$D$10,0,IF((S57-S59-S60)&gt;('Sources of Funds Worksheet'!$D$10-(F58+E58+G58+H58+I58+J58+K58+L58+M58+N58+O58+P58+Q58+R58)),('Sources of Funds Worksheet'!$D$10-(F58+E58+G58+H58+I58+J58+K58+L58+M58+N58+O58+P58+Q58+R58)),S57-S59-S60)))</f>
        <v>0</v>
      </c>
      <c r="V58" s="149" t="e">
        <f>(S67+'Services Pro Forma'!Q45)/('Housing Pro Forma'!E5*15)</f>
        <v>#DIV/0!</v>
      </c>
      <c r="W58" s="149" t="s">
        <v>1158</v>
      </c>
    </row>
    <row r="59" spans="1:23" s="151" customFormat="1" ht="12" x14ac:dyDescent="0.2">
      <c r="A59" s="815" t="s">
        <v>1543</v>
      </c>
      <c r="B59" s="816"/>
      <c r="C59" s="817"/>
      <c r="D59" s="497"/>
      <c r="E59" s="495"/>
      <c r="F59" s="496">
        <f>E59</f>
        <v>0</v>
      </c>
      <c r="G59" s="496">
        <f t="shared" ref="G59:S60" si="54">F59</f>
        <v>0</v>
      </c>
      <c r="H59" s="496">
        <f t="shared" si="54"/>
        <v>0</v>
      </c>
      <c r="I59" s="496">
        <f t="shared" si="54"/>
        <v>0</v>
      </c>
      <c r="J59" s="496">
        <f t="shared" si="54"/>
        <v>0</v>
      </c>
      <c r="K59" s="496">
        <f t="shared" si="54"/>
        <v>0</v>
      </c>
      <c r="L59" s="496">
        <f t="shared" si="54"/>
        <v>0</v>
      </c>
      <c r="M59" s="496">
        <f t="shared" si="54"/>
        <v>0</v>
      </c>
      <c r="N59" s="496">
        <f t="shared" si="54"/>
        <v>0</v>
      </c>
      <c r="O59" s="496">
        <f t="shared" si="54"/>
        <v>0</v>
      </c>
      <c r="P59" s="496">
        <f t="shared" si="54"/>
        <v>0</v>
      </c>
      <c r="Q59" s="496">
        <f t="shared" si="54"/>
        <v>0</v>
      </c>
      <c r="R59" s="496">
        <f t="shared" si="54"/>
        <v>0</v>
      </c>
      <c r="S59" s="496">
        <f t="shared" si="54"/>
        <v>0</v>
      </c>
      <c r="V59" s="208">
        <f>S67+'Services Pro Forma'!Q45</f>
        <v>0</v>
      </c>
      <c r="W59" s="151" t="s">
        <v>1174</v>
      </c>
    </row>
    <row r="60" spans="1:23" s="151" customFormat="1" ht="12" x14ac:dyDescent="0.2">
      <c r="A60" s="619" t="s">
        <v>1537</v>
      </c>
      <c r="B60" s="834"/>
      <c r="C60" s="821"/>
      <c r="D60" s="197"/>
      <c r="E60" s="495"/>
      <c r="F60" s="496">
        <f>E60</f>
        <v>0</v>
      </c>
      <c r="G60" s="496">
        <f t="shared" si="54"/>
        <v>0</v>
      </c>
      <c r="H60" s="496">
        <f t="shared" si="54"/>
        <v>0</v>
      </c>
      <c r="I60" s="496">
        <f t="shared" si="54"/>
        <v>0</v>
      </c>
      <c r="J60" s="496">
        <f t="shared" si="54"/>
        <v>0</v>
      </c>
      <c r="K60" s="496">
        <f t="shared" si="54"/>
        <v>0</v>
      </c>
      <c r="L60" s="496">
        <f t="shared" si="54"/>
        <v>0</v>
      </c>
      <c r="M60" s="496">
        <f t="shared" si="54"/>
        <v>0</v>
      </c>
      <c r="N60" s="496">
        <f t="shared" si="54"/>
        <v>0</v>
      </c>
      <c r="O60" s="496">
        <f t="shared" si="54"/>
        <v>0</v>
      </c>
      <c r="P60" s="496">
        <f t="shared" si="54"/>
        <v>0</v>
      </c>
      <c r="Q60" s="496">
        <f t="shared" si="54"/>
        <v>0</v>
      </c>
      <c r="R60" s="496">
        <f t="shared" si="54"/>
        <v>0</v>
      </c>
      <c r="S60" s="496">
        <f t="shared" si="54"/>
        <v>0</v>
      </c>
    </row>
    <row r="61" spans="1:23" ht="12" x14ac:dyDescent="0.2">
      <c r="A61" s="824" t="s">
        <v>1545</v>
      </c>
      <c r="B61" s="827"/>
      <c r="C61" s="827"/>
      <c r="D61" s="828"/>
      <c r="E61" s="491">
        <f t="shared" ref="E61:S61" si="55">E57-E58-E59-E60</f>
        <v>0</v>
      </c>
      <c r="F61" s="491">
        <f t="shared" si="55"/>
        <v>0</v>
      </c>
      <c r="G61" s="491">
        <f t="shared" si="55"/>
        <v>0</v>
      </c>
      <c r="H61" s="491">
        <f t="shared" si="55"/>
        <v>0</v>
      </c>
      <c r="I61" s="491">
        <f t="shared" si="55"/>
        <v>0</v>
      </c>
      <c r="J61" s="491">
        <f t="shared" si="55"/>
        <v>0</v>
      </c>
      <c r="K61" s="491">
        <f t="shared" si="55"/>
        <v>0</v>
      </c>
      <c r="L61" s="491">
        <f t="shared" si="55"/>
        <v>0</v>
      </c>
      <c r="M61" s="491">
        <f t="shared" si="55"/>
        <v>0</v>
      </c>
      <c r="N61" s="491">
        <f t="shared" si="55"/>
        <v>0</v>
      </c>
      <c r="O61" s="491">
        <f t="shared" si="55"/>
        <v>0</v>
      </c>
      <c r="P61" s="491">
        <f t="shared" si="55"/>
        <v>0</v>
      </c>
      <c r="Q61" s="491">
        <f t="shared" si="55"/>
        <v>0</v>
      </c>
      <c r="R61" s="491">
        <f t="shared" si="55"/>
        <v>0</v>
      </c>
      <c r="S61" s="491">
        <f t="shared" si="55"/>
        <v>0</v>
      </c>
    </row>
    <row r="62" spans="1:23" ht="12" x14ac:dyDescent="0.2">
      <c r="A62" s="612"/>
      <c r="B62" s="590"/>
      <c r="C62" s="590"/>
      <c r="D62" s="590"/>
      <c r="E62" s="585"/>
      <c r="F62" s="585"/>
      <c r="G62" s="585"/>
      <c r="H62" s="585"/>
      <c r="I62" s="585"/>
      <c r="J62" s="585"/>
      <c r="K62" s="585"/>
      <c r="L62" s="585"/>
      <c r="M62" s="585"/>
      <c r="N62" s="585"/>
      <c r="O62" s="585"/>
      <c r="P62" s="585"/>
      <c r="Q62" s="585"/>
      <c r="R62" s="585"/>
      <c r="S62" s="592"/>
      <c r="V62" s="149" t="e">
        <f>E61/E19</f>
        <v>#DIV/0!</v>
      </c>
      <c r="W62" s="149" t="s">
        <v>1188</v>
      </c>
    </row>
    <row r="63" spans="1:23" ht="12" customHeight="1" x14ac:dyDescent="0.2">
      <c r="A63" s="812" t="s">
        <v>1539</v>
      </c>
      <c r="B63" s="813"/>
      <c r="C63" s="813"/>
      <c r="D63" s="814"/>
      <c r="E63" s="493"/>
      <c r="F63" s="494"/>
      <c r="G63" s="494"/>
      <c r="H63" s="494"/>
      <c r="I63" s="494"/>
      <c r="J63" s="494"/>
      <c r="K63" s="494"/>
      <c r="L63" s="494"/>
      <c r="M63" s="494"/>
      <c r="N63" s="494"/>
      <c r="O63" s="494"/>
      <c r="P63" s="494"/>
      <c r="Q63" s="494"/>
      <c r="R63" s="494"/>
      <c r="S63" s="575"/>
    </row>
    <row r="64" spans="1:23" ht="12" customHeight="1" x14ac:dyDescent="0.2">
      <c r="A64" s="818" t="s">
        <v>1559</v>
      </c>
      <c r="B64" s="819"/>
      <c r="C64" s="819"/>
      <c r="D64" s="819"/>
      <c r="E64" s="492">
        <f>ROUND(IF('Feasibility Analysis Worksheet'!$E$13="Use EGI%",0,IF(ISNUMBER(E52/(E55+E56)),E52/(E55+E56),0)),2)</f>
        <v>0</v>
      </c>
      <c r="F64" s="492">
        <f>ROUND(IF('Feasibility Analysis Worksheet'!$E$13="Use EGI%",0,IF(ISNUMBER(F52/(F55+F56)),F52/(F55+F56),0)),2)</f>
        <v>0</v>
      </c>
      <c r="G64" s="492">
        <f>ROUND(IF('Feasibility Analysis Worksheet'!$E$13="Use EGI%",0,IF(ISNUMBER(G52/(G55+G56)),G52/(G55+G56),0)),2)</f>
        <v>0</v>
      </c>
      <c r="H64" s="492">
        <f>ROUND(IF('Feasibility Analysis Worksheet'!$E$13="Use EGI%",0,IF(ISNUMBER(H52/(H55+H56)),H52/(H55+H56),0)),2)</f>
        <v>0</v>
      </c>
      <c r="I64" s="492">
        <f>ROUND(IF('Feasibility Analysis Worksheet'!$E$13="Use EGI%",0,IF(ISNUMBER(I52/(I55+I56)),I52/(I55+I56),0)),2)</f>
        <v>0</v>
      </c>
      <c r="J64" s="492">
        <f>ROUND(IF('Feasibility Analysis Worksheet'!$E$13="Use EGI%",0,IF(ISNUMBER(J52/(J55+J56)),J52/(J55+J56),0)),2)</f>
        <v>0</v>
      </c>
      <c r="K64" s="492">
        <f>ROUND(IF('Feasibility Analysis Worksheet'!$E$13="Use EGI%",0,IF(ISNUMBER(K52/(K55+K56)),K52/(K55+K56),0)),2)</f>
        <v>0</v>
      </c>
      <c r="L64" s="492">
        <f>ROUND(IF('Feasibility Analysis Worksheet'!$E$13="Use EGI%",0,IF(ISNUMBER(L52/(L55+L56)),L52/(L55+L56),0)),2)</f>
        <v>0</v>
      </c>
      <c r="M64" s="492">
        <f>ROUND(IF('Feasibility Analysis Worksheet'!$E$13="Use EGI%",0,IF(ISNUMBER(M52/(M55+M56)),M52/(M55+M56),0)),2)</f>
        <v>0</v>
      </c>
      <c r="N64" s="492">
        <f>ROUND(IF('Feasibility Analysis Worksheet'!$E$13="Use EGI%",0,IF(ISNUMBER(N52/(N55+N56)),N52/(N55+N56),0)),2)</f>
        <v>0</v>
      </c>
      <c r="O64" s="492">
        <f>ROUND(IF('Feasibility Analysis Worksheet'!$E$13="Use EGI%",0,IF(ISNUMBER(O52/(O55+O56)),O52/(O55+O56),0)),2)</f>
        <v>0</v>
      </c>
      <c r="P64" s="492">
        <f>ROUND(IF('Feasibility Analysis Worksheet'!$E$13="Use EGI%",0,IF(ISNUMBER(P52/(P55+P56)),P52/(P55+P56),0)),2)</f>
        <v>0</v>
      </c>
      <c r="Q64" s="492">
        <f>ROUND(IF('Feasibility Analysis Worksheet'!$E$13="Use EGI%",0,IF(ISNUMBER(Q52/(Q55+Q56)),Q52/(Q55+Q56),0)),2)</f>
        <v>0</v>
      </c>
      <c r="R64" s="492">
        <f>ROUND(IF('Feasibility Analysis Worksheet'!$E$13="Use EGI%",0,IF(ISNUMBER(R52/(R55+R56)),R52/(R55+R56),0)),2)</f>
        <v>0</v>
      </c>
      <c r="S64" s="492">
        <f>ROUND(IF('Feasibility Analysis Worksheet'!$E$13="Use EGI%",0,IF(ISNUMBER(S52/(S55+S56)),S52/(S55+S56),0)),2)</f>
        <v>0</v>
      </c>
    </row>
    <row r="65" spans="1:19" ht="12.75" customHeight="1" x14ac:dyDescent="0.2">
      <c r="A65" s="818" t="s">
        <v>1560</v>
      </c>
      <c r="B65" s="819"/>
      <c r="C65" s="819"/>
      <c r="D65" s="819"/>
      <c r="E65" s="206">
        <f t="shared" ref="E65:S65" si="56">IF(E64&gt;0,0,IF(E51=0,0,E51/E19))</f>
        <v>0</v>
      </c>
      <c r="F65" s="206">
        <f t="shared" si="56"/>
        <v>0</v>
      </c>
      <c r="G65" s="206">
        <f t="shared" si="56"/>
        <v>0</v>
      </c>
      <c r="H65" s="206">
        <f t="shared" si="56"/>
        <v>0</v>
      </c>
      <c r="I65" s="206">
        <f t="shared" si="56"/>
        <v>0</v>
      </c>
      <c r="J65" s="206">
        <f t="shared" si="56"/>
        <v>0</v>
      </c>
      <c r="K65" s="206">
        <f t="shared" si="56"/>
        <v>0</v>
      </c>
      <c r="L65" s="206">
        <f t="shared" si="56"/>
        <v>0</v>
      </c>
      <c r="M65" s="206">
        <f t="shared" si="56"/>
        <v>0</v>
      </c>
      <c r="N65" s="206">
        <f t="shared" si="56"/>
        <v>0</v>
      </c>
      <c r="O65" s="206">
        <f t="shared" si="56"/>
        <v>0</v>
      </c>
      <c r="P65" s="206">
        <f t="shared" si="56"/>
        <v>0</v>
      </c>
      <c r="Q65" s="206">
        <f t="shared" si="56"/>
        <v>0</v>
      </c>
      <c r="R65" s="206">
        <f t="shared" si="56"/>
        <v>0</v>
      </c>
      <c r="S65" s="206">
        <f t="shared" si="56"/>
        <v>0</v>
      </c>
    </row>
    <row r="66" spans="1:19" ht="12.75" customHeight="1" x14ac:dyDescent="0.2">
      <c r="A66" s="809" t="s">
        <v>1561</v>
      </c>
      <c r="B66" s="810"/>
      <c r="C66" s="810"/>
      <c r="D66" s="811"/>
      <c r="E66" s="179">
        <f>E57</f>
        <v>0</v>
      </c>
      <c r="F66" s="179">
        <f t="shared" ref="F66:S66" si="57">E66+F57</f>
        <v>0</v>
      </c>
      <c r="G66" s="179">
        <f t="shared" si="57"/>
        <v>0</v>
      </c>
      <c r="H66" s="179">
        <f t="shared" si="57"/>
        <v>0</v>
      </c>
      <c r="I66" s="179">
        <f t="shared" si="57"/>
        <v>0</v>
      </c>
      <c r="J66" s="179">
        <f t="shared" si="57"/>
        <v>0</v>
      </c>
      <c r="K66" s="179">
        <f t="shared" si="57"/>
        <v>0</v>
      </c>
      <c r="L66" s="179">
        <f t="shared" si="57"/>
        <v>0</v>
      </c>
      <c r="M66" s="179">
        <f t="shared" si="57"/>
        <v>0</v>
      </c>
      <c r="N66" s="179">
        <f t="shared" si="57"/>
        <v>0</v>
      </c>
      <c r="O66" s="179">
        <f t="shared" si="57"/>
        <v>0</v>
      </c>
      <c r="P66" s="179">
        <f t="shared" si="57"/>
        <v>0</v>
      </c>
      <c r="Q66" s="179">
        <f t="shared" si="57"/>
        <v>0</v>
      </c>
      <c r="R66" s="179">
        <f t="shared" si="57"/>
        <v>0</v>
      </c>
      <c r="S66" s="179">
        <f t="shared" si="57"/>
        <v>0</v>
      </c>
    </row>
    <row r="67" spans="1:19" ht="11.25" customHeight="1" x14ac:dyDescent="0.2">
      <c r="A67" s="809" t="s">
        <v>1562</v>
      </c>
      <c r="B67" s="810"/>
      <c r="C67" s="810"/>
      <c r="D67" s="811"/>
      <c r="E67" s="179">
        <f>E61</f>
        <v>0</v>
      </c>
      <c r="F67" s="179">
        <f t="shared" ref="F67:S67" si="58">E67+F61</f>
        <v>0</v>
      </c>
      <c r="G67" s="179">
        <f t="shared" si="58"/>
        <v>0</v>
      </c>
      <c r="H67" s="179">
        <f t="shared" si="58"/>
        <v>0</v>
      </c>
      <c r="I67" s="179">
        <f t="shared" si="58"/>
        <v>0</v>
      </c>
      <c r="J67" s="179">
        <f t="shared" si="58"/>
        <v>0</v>
      </c>
      <c r="K67" s="179">
        <f t="shared" si="58"/>
        <v>0</v>
      </c>
      <c r="L67" s="179">
        <f t="shared" si="58"/>
        <v>0</v>
      </c>
      <c r="M67" s="179">
        <f t="shared" si="58"/>
        <v>0</v>
      </c>
      <c r="N67" s="179">
        <f t="shared" si="58"/>
        <v>0</v>
      </c>
      <c r="O67" s="179">
        <f t="shared" si="58"/>
        <v>0</v>
      </c>
      <c r="P67" s="179">
        <f t="shared" si="58"/>
        <v>0</v>
      </c>
      <c r="Q67" s="179">
        <f t="shared" si="58"/>
        <v>0</v>
      </c>
      <c r="R67" s="179">
        <f t="shared" si="58"/>
        <v>0</v>
      </c>
      <c r="S67" s="179">
        <f t="shared" si="58"/>
        <v>0</v>
      </c>
    </row>
    <row r="68" spans="1:19" x14ac:dyDescent="0.2">
      <c r="A68" s="148"/>
      <c r="B68" s="148"/>
      <c r="C68" s="148"/>
      <c r="D68" s="151"/>
      <c r="E68" s="151"/>
      <c r="F68" s="151"/>
      <c r="G68" s="151"/>
      <c r="H68" s="151"/>
      <c r="I68" s="151"/>
      <c r="J68" s="151"/>
      <c r="K68" s="151"/>
      <c r="L68" s="151"/>
      <c r="M68" s="151"/>
      <c r="N68" s="151"/>
      <c r="O68" s="151"/>
      <c r="P68" s="151"/>
      <c r="Q68" s="209"/>
      <c r="R68" s="210"/>
    </row>
    <row r="69" spans="1:19" ht="13.5" thickBot="1" x14ac:dyDescent="0.25">
      <c r="A69" s="211" t="s">
        <v>1258</v>
      </c>
      <c r="B69" s="211"/>
      <c r="C69" s="211"/>
      <c r="D69" s="156"/>
      <c r="E69" s="156"/>
      <c r="F69" s="156"/>
      <c r="G69" s="212"/>
      <c r="H69" s="156"/>
      <c r="I69" s="156"/>
    </row>
    <row r="70" spans="1:19" x14ac:dyDescent="0.2">
      <c r="A70" s="835"/>
      <c r="B70" s="836"/>
      <c r="C70" s="836"/>
      <c r="D70" s="836"/>
      <c r="E70" s="836"/>
      <c r="F70" s="836"/>
      <c r="G70" s="836"/>
      <c r="H70" s="836"/>
      <c r="I70" s="836"/>
      <c r="J70" s="836"/>
      <c r="K70" s="836"/>
      <c r="L70" s="836"/>
      <c r="M70" s="836"/>
      <c r="N70" s="836"/>
      <c r="O70" s="836"/>
      <c r="P70" s="836"/>
      <c r="Q70" s="836"/>
      <c r="R70" s="836"/>
      <c r="S70" s="837"/>
    </row>
    <row r="71" spans="1:19" x14ac:dyDescent="0.2">
      <c r="A71" s="838"/>
      <c r="B71" s="839"/>
      <c r="C71" s="839"/>
      <c r="D71" s="839"/>
      <c r="E71" s="839"/>
      <c r="F71" s="839"/>
      <c r="G71" s="839"/>
      <c r="H71" s="839"/>
      <c r="I71" s="839"/>
      <c r="J71" s="839"/>
      <c r="K71" s="839"/>
      <c r="L71" s="839"/>
      <c r="M71" s="839"/>
      <c r="N71" s="839"/>
      <c r="O71" s="839"/>
      <c r="P71" s="839"/>
      <c r="Q71" s="839"/>
      <c r="R71" s="839"/>
      <c r="S71" s="840"/>
    </row>
    <row r="72" spans="1:19" x14ac:dyDescent="0.2">
      <c r="A72" s="838"/>
      <c r="B72" s="839"/>
      <c r="C72" s="839"/>
      <c r="D72" s="839"/>
      <c r="E72" s="839"/>
      <c r="F72" s="839"/>
      <c r="G72" s="839"/>
      <c r="H72" s="839"/>
      <c r="I72" s="839"/>
      <c r="J72" s="839"/>
      <c r="K72" s="839"/>
      <c r="L72" s="839"/>
      <c r="M72" s="839"/>
      <c r="N72" s="839"/>
      <c r="O72" s="839"/>
      <c r="P72" s="839"/>
      <c r="Q72" s="839"/>
      <c r="R72" s="839"/>
      <c r="S72" s="840"/>
    </row>
    <row r="73" spans="1:19" x14ac:dyDescent="0.2">
      <c r="A73" s="838"/>
      <c r="B73" s="839"/>
      <c r="C73" s="839"/>
      <c r="D73" s="839"/>
      <c r="E73" s="839"/>
      <c r="F73" s="839"/>
      <c r="G73" s="839"/>
      <c r="H73" s="839"/>
      <c r="I73" s="839"/>
      <c r="J73" s="839"/>
      <c r="K73" s="839"/>
      <c r="L73" s="839"/>
      <c r="M73" s="839"/>
      <c r="N73" s="839"/>
      <c r="O73" s="839"/>
      <c r="P73" s="839"/>
      <c r="Q73" s="839"/>
      <c r="R73" s="839"/>
      <c r="S73" s="840"/>
    </row>
    <row r="74" spans="1:19" ht="12" thickBot="1" x14ac:dyDescent="0.25">
      <c r="A74" s="841"/>
      <c r="B74" s="842"/>
      <c r="C74" s="842"/>
      <c r="D74" s="842"/>
      <c r="E74" s="842"/>
      <c r="F74" s="842"/>
      <c r="G74" s="842"/>
      <c r="H74" s="842"/>
      <c r="I74" s="842"/>
      <c r="J74" s="842"/>
      <c r="K74" s="842"/>
      <c r="L74" s="842"/>
      <c r="M74" s="842"/>
      <c r="N74" s="842"/>
      <c r="O74" s="842"/>
      <c r="P74" s="842"/>
      <c r="Q74" s="842"/>
      <c r="R74" s="842"/>
      <c r="S74" s="843"/>
    </row>
    <row r="76" spans="1:19" x14ac:dyDescent="0.2">
      <c r="A76" s="213">
        <f>'Feasibility Analysis Worksheet'!C7</f>
        <v>0</v>
      </c>
    </row>
  </sheetData>
  <sheetProtection algorithmName="SHA-512" hashValue="vKSz3JYJIXGXKlGvX09uQ4QXRf+2Qec7GMYWKxo2px/xivFazJC3YJLTyqXpUZtEUT0OqSThvaIpa99mVSc4lA==" saltValue="HpH+/xYUnHH/yeni++Zri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4">
    <mergeCell ref="A19:C19"/>
    <mergeCell ref="A21:C21"/>
    <mergeCell ref="A44:C44"/>
    <mergeCell ref="B45:C45"/>
    <mergeCell ref="A26:C26"/>
    <mergeCell ref="A25:C25"/>
    <mergeCell ref="A24:C24"/>
    <mergeCell ref="A28:C28"/>
    <mergeCell ref="A27:C27"/>
    <mergeCell ref="A48:B48"/>
    <mergeCell ref="H2:Q2"/>
    <mergeCell ref="K3:N3"/>
    <mergeCell ref="A46:C46"/>
    <mergeCell ref="B15:C15"/>
    <mergeCell ref="B16:C16"/>
    <mergeCell ref="A11:C11"/>
    <mergeCell ref="A17:C17"/>
    <mergeCell ref="A18:C18"/>
    <mergeCell ref="A12:C12"/>
    <mergeCell ref="A14:C14"/>
    <mergeCell ref="A13:C13"/>
    <mergeCell ref="B42:C42"/>
    <mergeCell ref="A30:C30"/>
    <mergeCell ref="A31:C31"/>
    <mergeCell ref="A29:C29"/>
    <mergeCell ref="A70:S74"/>
    <mergeCell ref="A9:B9"/>
    <mergeCell ref="A34:C34"/>
    <mergeCell ref="A33:C33"/>
    <mergeCell ref="A32:C32"/>
    <mergeCell ref="A39:C39"/>
    <mergeCell ref="A38:C38"/>
    <mergeCell ref="A37:C37"/>
    <mergeCell ref="A36:C36"/>
    <mergeCell ref="A35:C35"/>
    <mergeCell ref="A43:C43"/>
    <mergeCell ref="B41:C41"/>
    <mergeCell ref="A64:D64"/>
    <mergeCell ref="A66:D66"/>
    <mergeCell ref="C48:D48"/>
    <mergeCell ref="A23:C23"/>
    <mergeCell ref="A49:C49"/>
    <mergeCell ref="A51:D51"/>
    <mergeCell ref="A61:D61"/>
    <mergeCell ref="A52:D52"/>
    <mergeCell ref="A55:D55"/>
    <mergeCell ref="A58:D58"/>
    <mergeCell ref="A57:D57"/>
    <mergeCell ref="B60:C60"/>
    <mergeCell ref="A67:D67"/>
    <mergeCell ref="A63:D63"/>
    <mergeCell ref="A59:C59"/>
    <mergeCell ref="A65:D65"/>
    <mergeCell ref="B50:C50"/>
  </mergeCells>
  <phoneticPr fontId="13" type="noConversion"/>
  <conditionalFormatting sqref="A14">
    <cfRule type="expression" dxfId="47" priority="91" stopIfTrue="1">
      <formula>T14&lt;&gt;""</formula>
    </cfRule>
  </conditionalFormatting>
  <conditionalFormatting sqref="A14:A16">
    <cfRule type="expression" dxfId="46" priority="109" stopIfTrue="1">
      <formula>T14&lt;&gt;""</formula>
    </cfRule>
  </conditionalFormatting>
  <conditionalFormatting sqref="A41">
    <cfRule type="expression" dxfId="45" priority="95" stopIfTrue="1">
      <formula>AND($A$41="   S. Other:  (specify)",$E$41&gt;0)</formula>
    </cfRule>
  </conditionalFormatting>
  <conditionalFormatting sqref="A41:A42 A45 A50 A14:A16">
    <cfRule type="expression" dxfId="44" priority="107" stopIfTrue="1">
      <formula>AND($A$39="   R. Other: (specify)",$E$39&gt;0)</formula>
    </cfRule>
  </conditionalFormatting>
  <conditionalFormatting sqref="A42">
    <cfRule type="expression" dxfId="43" priority="94" stopIfTrue="1">
      <formula>AND($A$42="   T. Other:  (specify)",$E$42&gt;0)</formula>
    </cfRule>
  </conditionalFormatting>
  <conditionalFormatting sqref="A45">
    <cfRule type="expression" dxfId="42" priority="93" stopIfTrue="1">
      <formula>AND($A$45="   W. Other:  (specify)",$E$45&gt;0)</formula>
    </cfRule>
  </conditionalFormatting>
  <conditionalFormatting sqref="A50">
    <cfRule type="expression" dxfId="41" priority="92" stopIfTrue="1">
      <formula>AND($A$50="   C. Other:  (specify)",$E$50&gt;0)</formula>
    </cfRule>
  </conditionalFormatting>
  <conditionalFormatting sqref="A60">
    <cfRule type="expression" dxfId="40" priority="3" stopIfTrue="1">
      <formula>AND($A$50="   C. Other:  (specify)",$E$50&gt;0)</formula>
    </cfRule>
    <cfRule type="expression" dxfId="39" priority="4" stopIfTrue="1">
      <formula>AND($A$39="   R. Other: (specify)",$E$39&gt;0)</formula>
    </cfRule>
  </conditionalFormatting>
  <conditionalFormatting sqref="B15:C16">
    <cfRule type="expression" dxfId="38" priority="16">
      <formula>AND(B15:C15="",$E15&lt;&gt;"")</formula>
    </cfRule>
  </conditionalFormatting>
  <conditionalFormatting sqref="B41:C42">
    <cfRule type="expression" dxfId="37" priority="31">
      <formula>AND(B41:C41="",$E41&lt;&gt;"")</formula>
    </cfRule>
  </conditionalFormatting>
  <conditionalFormatting sqref="B45:C45">
    <cfRule type="expression" dxfId="36" priority="26">
      <formula>AND(B45:C45="",$E45&lt;&gt;"")</formula>
    </cfRule>
  </conditionalFormatting>
  <conditionalFormatting sqref="B50:C50">
    <cfRule type="expression" dxfId="35" priority="17">
      <formula>AND(B50:C50="",$E50&lt;&gt;"")</formula>
    </cfRule>
  </conditionalFormatting>
  <conditionalFormatting sqref="B60:C60">
    <cfRule type="expression" dxfId="34" priority="2">
      <formula>AND(B60:C60="",$E60&lt;&gt;"")</formula>
    </cfRule>
  </conditionalFormatting>
  <conditionalFormatting sqref="C22">
    <cfRule type="cellIs" dxfId="33" priority="121" operator="greaterThan">
      <formula>$A$76</formula>
    </cfRule>
  </conditionalFormatting>
  <conditionalFormatting sqref="D46:D47">
    <cfRule type="cellIs" dxfId="32" priority="13" operator="equal">
      <formula>""</formula>
    </cfRule>
    <cfRule type="cellIs" dxfId="31" priority="15" operator="notBetween">
      <formula>3200</formula>
      <formula>6000</formula>
    </cfRule>
  </conditionalFormatting>
  <conditionalFormatting sqref="E6:E7">
    <cfRule type="cellIs" dxfId="30" priority="5" operator="greaterThan">
      <formula>0.07</formula>
    </cfRule>
  </conditionalFormatting>
  <conditionalFormatting sqref="E64:S64">
    <cfRule type="cellIs" dxfId="29" priority="7" operator="lessThan">
      <formula>1.05</formula>
    </cfRule>
    <cfRule type="cellIs" dxfId="28" priority="8" operator="greaterThan">
      <formula>1.5</formula>
    </cfRule>
  </conditionalFormatting>
  <conditionalFormatting sqref="E64:S65">
    <cfRule type="cellIs" priority="6" stopIfTrue="1" operator="equal">
      <formula>0</formula>
    </cfRule>
  </conditionalFormatting>
  <conditionalFormatting sqref="E65:S65">
    <cfRule type="cellIs" dxfId="27" priority="10" operator="lessThan">
      <formula>0.85</formula>
    </cfRule>
    <cfRule type="cellIs" dxfId="26" priority="11" operator="greaterThan">
      <formula>1</formula>
    </cfRule>
  </conditionalFormatting>
  <conditionalFormatting sqref="G69">
    <cfRule type="containsErrors" dxfId="25" priority="83">
      <formula>ISERROR(G69)</formula>
    </cfRule>
  </conditionalFormatting>
  <dataValidations xWindow="467" yWindow="276"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70:C70" xr:uid="{00000000-0002-0000-0900-000000000000}"/>
    <dataValidation type="decimal" operator="greaterThanOrEqual" allowBlank="1" showInputMessage="1" showErrorMessage="1" sqref="E12:E16 E22:E45 E49:E50 E59:E60" xr:uid="{00000000-0002-0000-0900-000001000000}">
      <formula1>0</formula1>
    </dataValidation>
    <dataValidation type="decimal" allowBlank="1" showInputMessage="1" showErrorMessage="1" error="Interest rate above 2% is not allowed." sqref="K6" xr:uid="{00000000-0002-0000-0900-000003000000}">
      <formula1>0</formula1>
      <formula2>0.02</formula2>
    </dataValidation>
    <dataValidation type="list" allowBlank="1" showInputMessage="1" showErrorMessage="1" sqref="I5:I6" xr:uid="{04D0E315-8649-483F-A66D-7F9D51315726}">
      <formula1>"Yes, No"</formula1>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2:F15 G12:S12 F11:S11 F23:S27 F36:S37 F41:S45 F29:S34 F28:G28 I28:S28 F38:G38 I38:K38 G14 G13:H13 G15:S15 F16:S16 I13:S14 F39:S39 M38:S38 F49:S49 F50:S50" unlockedFormula="1"/>
    <ignoredError sqref="F35:S35" formula="1"/>
  </ignoredErrors>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9" sqref="D9"/>
    </sheetView>
  </sheetViews>
  <sheetFormatPr defaultColWidth="7.85546875" defaultRowHeight="11.25" x14ac:dyDescent="0.2"/>
  <cols>
    <col min="1" max="1" width="16.28515625" style="101" customWidth="1"/>
    <col min="2" max="2" width="16.85546875" style="101" customWidth="1"/>
    <col min="3" max="14" width="9.5703125" style="101" customWidth="1"/>
    <col min="15" max="15" width="9.42578125" style="101" customWidth="1"/>
    <col min="16" max="17" width="9.5703125" style="101" customWidth="1"/>
    <col min="18" max="18" width="9.7109375" style="101" hidden="1" customWidth="1"/>
    <col min="19" max="19" width="8.42578125" style="116" hidden="1" customWidth="1"/>
    <col min="20" max="20" width="8" style="101" hidden="1" customWidth="1"/>
    <col min="21" max="21" width="10.140625" style="101" customWidth="1"/>
    <col min="22" max="22" width="15.42578125" style="101" customWidth="1"/>
    <col min="23" max="23" width="7.85546875" style="101"/>
    <col min="24" max="24" width="9.28515625" style="101" bestFit="1" customWidth="1"/>
    <col min="25" max="16384" width="7.85546875" style="101"/>
  </cols>
  <sheetData>
    <row r="1" spans="1:22" x14ac:dyDescent="0.2">
      <c r="S1" s="101"/>
    </row>
    <row r="2" spans="1:22" ht="12.75" customHeight="1" x14ac:dyDescent="0.2">
      <c r="A2" s="753" t="s">
        <v>104</v>
      </c>
      <c r="B2" s="753"/>
      <c r="C2" s="753"/>
      <c r="D2" s="753"/>
      <c r="E2" s="753"/>
      <c r="F2" s="753"/>
      <c r="G2" s="753"/>
      <c r="H2" s="753"/>
      <c r="I2" s="753"/>
      <c r="J2" s="753"/>
      <c r="K2" s="753"/>
      <c r="L2" s="753"/>
      <c r="M2" s="753"/>
      <c r="N2" s="753"/>
      <c r="O2" s="753"/>
      <c r="P2" s="753"/>
      <c r="Q2" s="753"/>
      <c r="R2" s="102"/>
      <c r="S2" s="102"/>
    </row>
    <row r="3" spans="1:22" ht="12.75" customHeight="1" x14ac:dyDescent="0.2">
      <c r="A3" s="753" t="s">
        <v>496</v>
      </c>
      <c r="B3" s="753"/>
      <c r="C3" s="753"/>
      <c r="D3" s="753"/>
      <c r="E3" s="753"/>
      <c r="F3" s="753"/>
      <c r="G3" s="753"/>
      <c r="H3" s="753"/>
      <c r="I3" s="753"/>
      <c r="J3" s="753"/>
      <c r="K3" s="753"/>
      <c r="L3" s="753"/>
      <c r="M3" s="753"/>
      <c r="N3" s="753"/>
      <c r="O3" s="753"/>
      <c r="P3" s="753"/>
      <c r="Q3" s="753"/>
      <c r="R3" s="102"/>
      <c r="S3" s="102"/>
    </row>
    <row r="4" spans="1:22" ht="12.75" customHeight="1" x14ac:dyDescent="0.2">
      <c r="A4" s="859" t="s">
        <v>65</v>
      </c>
      <c r="B4" s="859"/>
      <c r="C4" s="859"/>
      <c r="D4" s="92"/>
      <c r="E4" s="92"/>
      <c r="H4" s="16"/>
      <c r="I4" s="16"/>
      <c r="J4" s="16"/>
      <c r="K4" s="16"/>
      <c r="L4" s="102"/>
      <c r="M4" s="102"/>
      <c r="N4" s="102"/>
      <c r="O4" s="103"/>
      <c r="P4" s="103"/>
      <c r="Q4" s="103"/>
      <c r="R4" s="102"/>
      <c r="S4" s="102"/>
    </row>
    <row r="5" spans="1:22" ht="12.75" customHeight="1" x14ac:dyDescent="0.2">
      <c r="A5" s="140" t="s">
        <v>530</v>
      </c>
      <c r="B5" s="140"/>
      <c r="C5" s="140"/>
      <c r="D5" s="140"/>
      <c r="E5" s="140"/>
      <c r="F5" s="140"/>
      <c r="G5" s="104"/>
      <c r="H5" s="16"/>
      <c r="I5" s="16"/>
      <c r="J5" s="16"/>
      <c r="K5" s="16"/>
      <c r="L5" s="102"/>
      <c r="M5" s="102"/>
      <c r="N5" s="102"/>
      <c r="O5" s="103"/>
      <c r="P5" s="103"/>
      <c r="Q5" s="103"/>
      <c r="R5" s="102"/>
      <c r="S5" s="102"/>
    </row>
    <row r="6" spans="1:22" ht="12.75" customHeight="1" x14ac:dyDescent="0.2">
      <c r="A6" s="141" t="s">
        <v>78</v>
      </c>
      <c r="B6" s="141"/>
      <c r="C6" s="141"/>
      <c r="D6" s="141"/>
      <c r="E6" s="141"/>
      <c r="F6" s="141"/>
      <c r="G6" s="141"/>
      <c r="H6" s="141"/>
      <c r="I6" s="141"/>
      <c r="J6" s="16"/>
      <c r="K6" s="16"/>
      <c r="L6" s="102"/>
      <c r="M6" s="102"/>
      <c r="N6" s="102"/>
      <c r="O6" s="103"/>
      <c r="P6" s="103"/>
      <c r="Q6" s="103"/>
      <c r="R6" s="102"/>
      <c r="S6" s="102"/>
    </row>
    <row r="7" spans="1:22" s="106" customFormat="1" x14ac:dyDescent="0.2">
      <c r="A7" s="105"/>
      <c r="B7" s="105"/>
      <c r="C7" s="105"/>
      <c r="D7" s="105"/>
      <c r="E7" s="105"/>
      <c r="F7" s="105"/>
      <c r="G7" s="105"/>
      <c r="H7" s="105"/>
      <c r="I7" s="105"/>
      <c r="K7" s="107"/>
      <c r="L7" s="107"/>
      <c r="M7" s="107"/>
      <c r="N7" s="107"/>
      <c r="O7" s="108"/>
      <c r="P7" s="108"/>
      <c r="Q7" s="108"/>
      <c r="R7" s="108"/>
      <c r="S7" s="108"/>
    </row>
    <row r="8" spans="1:22" ht="14.25" customHeight="1" x14ac:dyDescent="0.2">
      <c r="A8" s="109" t="s">
        <v>46</v>
      </c>
      <c r="B8" s="110"/>
      <c r="D8" s="100">
        <f>'Project Information'!F15</f>
        <v>0</v>
      </c>
      <c r="F8" s="1"/>
      <c r="H8" s="873"/>
      <c r="I8" s="873"/>
      <c r="J8" s="873"/>
      <c r="K8" s="873"/>
      <c r="L8" s="873"/>
      <c r="M8" s="111"/>
      <c r="Q8" s="112"/>
      <c r="S8" s="113"/>
      <c r="T8" s="101" t="s">
        <v>87</v>
      </c>
      <c r="U8" s="114"/>
      <c r="V8" s="114"/>
    </row>
    <row r="9" spans="1:22" ht="11.25" customHeight="1" x14ac:dyDescent="0.2">
      <c r="C9" s="115" t="s">
        <v>494</v>
      </c>
      <c r="D9" s="99"/>
      <c r="F9" s="111"/>
      <c r="G9" s="111"/>
    </row>
    <row r="10" spans="1:22" s="91" customFormat="1" ht="11.25" customHeight="1" x14ac:dyDescent="0.2">
      <c r="C10" s="115" t="s">
        <v>495</v>
      </c>
      <c r="D10" s="99"/>
      <c r="J10" s="115" t="s">
        <v>76</v>
      </c>
      <c r="K10" s="117"/>
      <c r="M10" s="115" t="s">
        <v>77</v>
      </c>
      <c r="N10" s="117"/>
      <c r="O10" s="481"/>
      <c r="P10" s="879"/>
      <c r="Q10" s="879"/>
      <c r="S10" s="118"/>
      <c r="T10" s="119">
        <v>0.01</v>
      </c>
    </row>
    <row r="11" spans="1:22" s="91" customFormat="1" ht="38.25" customHeight="1" x14ac:dyDescent="0.2">
      <c r="A11" s="876" t="str">
        <f>IF(D10="Yes","Service expenses CANNOT be included on the Housing Pro Forma. Remove services expenses from the Housing Pro Forma. If this is a Supportive Service Type facility, include on Services Pro Forma only.","")</f>
        <v/>
      </c>
      <c r="B11" s="876"/>
      <c r="C11" s="876"/>
      <c r="D11" s="876"/>
      <c r="E11" s="876"/>
      <c r="F11" s="876"/>
      <c r="G11" s="20"/>
      <c r="H11" s="20"/>
      <c r="I11" s="20"/>
      <c r="J11" s="20"/>
      <c r="K11" s="20"/>
      <c r="L11" s="20"/>
      <c r="M11" s="20"/>
      <c r="N11" s="20"/>
      <c r="O11" s="20"/>
      <c r="P11" s="20"/>
      <c r="Q11" s="20"/>
      <c r="R11" s="20"/>
      <c r="S11" s="118"/>
      <c r="T11" s="119">
        <v>0.02</v>
      </c>
    </row>
    <row r="12" spans="1:22" s="91" customFormat="1" ht="14.25" customHeight="1" x14ac:dyDescent="0.2">
      <c r="A12" s="120" t="str">
        <f>IF(AND(D10="No",D9="No"),"You do not need to fill this worksheet out. Proceed to next tab.","")</f>
        <v/>
      </c>
      <c r="D12" s="20"/>
      <c r="E12" s="20"/>
      <c r="F12" s="20"/>
      <c r="G12" s="20"/>
      <c r="H12" s="20"/>
      <c r="I12" s="20"/>
      <c r="J12" s="20"/>
      <c r="K12" s="20"/>
      <c r="L12" s="20"/>
      <c r="M12" s="20"/>
      <c r="N12" s="20"/>
      <c r="O12" s="20"/>
      <c r="P12" s="20"/>
      <c r="Q12" s="20"/>
      <c r="R12" s="20"/>
      <c r="S12" s="118"/>
      <c r="T12" s="119"/>
    </row>
    <row r="13" spans="1:22" ht="12.75" customHeight="1" x14ac:dyDescent="0.2">
      <c r="A13" s="874"/>
      <c r="B13" s="875"/>
      <c r="C13" s="121" t="s">
        <v>47</v>
      </c>
      <c r="D13" s="121" t="s">
        <v>48</v>
      </c>
      <c r="E13" s="121" t="s">
        <v>49</v>
      </c>
      <c r="F13" s="121" t="s">
        <v>50</v>
      </c>
      <c r="G13" s="121" t="s">
        <v>51</v>
      </c>
      <c r="H13" s="121" t="s">
        <v>52</v>
      </c>
      <c r="I13" s="121" t="s">
        <v>53</v>
      </c>
      <c r="J13" s="121" t="s">
        <v>54</v>
      </c>
      <c r="K13" s="121" t="s">
        <v>55</v>
      </c>
      <c r="L13" s="121" t="s">
        <v>56</v>
      </c>
      <c r="M13" s="121" t="s">
        <v>57</v>
      </c>
      <c r="N13" s="121" t="s">
        <v>58</v>
      </c>
      <c r="O13" s="121" t="s">
        <v>59</v>
      </c>
      <c r="P13" s="121" t="s">
        <v>60</v>
      </c>
      <c r="Q13" s="121" t="s">
        <v>61</v>
      </c>
      <c r="S13" s="122">
        <v>0.03</v>
      </c>
    </row>
    <row r="14" spans="1:22" ht="12.75" customHeight="1" x14ac:dyDescent="0.2">
      <c r="A14" s="123" t="s">
        <v>498</v>
      </c>
      <c r="B14" s="124"/>
      <c r="C14" s="104"/>
      <c r="D14" s="18"/>
      <c r="E14" s="104"/>
      <c r="F14" s="104"/>
      <c r="G14" s="125"/>
      <c r="L14" s="126"/>
      <c r="M14" s="126"/>
      <c r="N14" s="126"/>
      <c r="O14" s="126"/>
      <c r="P14" s="126"/>
      <c r="Q14" s="126"/>
      <c r="S14" s="122">
        <v>0.04</v>
      </c>
    </row>
    <row r="15" spans="1:22" ht="12.75" customHeight="1" x14ac:dyDescent="0.2">
      <c r="A15" s="127" t="s">
        <v>491</v>
      </c>
      <c r="B15" s="128"/>
      <c r="C15" s="129"/>
      <c r="D15" s="130">
        <f t="shared" ref="D15:Q17" si="0">C15*(1+$K$10)</f>
        <v>0</v>
      </c>
      <c r="E15" s="130">
        <f t="shared" si="0"/>
        <v>0</v>
      </c>
      <c r="F15" s="130">
        <f t="shared" si="0"/>
        <v>0</v>
      </c>
      <c r="G15" s="130">
        <f t="shared" si="0"/>
        <v>0</v>
      </c>
      <c r="H15" s="130">
        <f t="shared" si="0"/>
        <v>0</v>
      </c>
      <c r="I15" s="130">
        <f t="shared" si="0"/>
        <v>0</v>
      </c>
      <c r="J15" s="130">
        <f t="shared" si="0"/>
        <v>0</v>
      </c>
      <c r="K15" s="130">
        <f t="shared" si="0"/>
        <v>0</v>
      </c>
      <c r="L15" s="130">
        <f t="shared" si="0"/>
        <v>0</v>
      </c>
      <c r="M15" s="130">
        <f t="shared" si="0"/>
        <v>0</v>
      </c>
      <c r="N15" s="130">
        <f t="shared" si="0"/>
        <v>0</v>
      </c>
      <c r="O15" s="130">
        <f t="shared" si="0"/>
        <v>0</v>
      </c>
      <c r="P15" s="130">
        <f t="shared" si="0"/>
        <v>0</v>
      </c>
      <c r="Q15" s="130">
        <f t="shared" si="0"/>
        <v>0</v>
      </c>
      <c r="R15" s="131" t="str">
        <f>IF(OR(AND(C15&lt;&gt;0,A15="D. Other Income:"),AND(C15&lt;&gt;0,A15="")),"Error:  Describe Source of Other Income","")</f>
        <v/>
      </c>
    </row>
    <row r="16" spans="1:22" ht="12.75" customHeight="1" x14ac:dyDescent="0.2">
      <c r="A16" s="127" t="s">
        <v>491</v>
      </c>
      <c r="B16" s="128"/>
      <c r="C16" s="129"/>
      <c r="D16" s="132">
        <f>C16*(1+$K$10)</f>
        <v>0</v>
      </c>
      <c r="E16" s="132">
        <f t="shared" si="0"/>
        <v>0</v>
      </c>
      <c r="F16" s="132">
        <f t="shared" si="0"/>
        <v>0</v>
      </c>
      <c r="G16" s="132">
        <f t="shared" si="0"/>
        <v>0</v>
      </c>
      <c r="H16" s="132">
        <f t="shared" si="0"/>
        <v>0</v>
      </c>
      <c r="I16" s="132">
        <f t="shared" si="0"/>
        <v>0</v>
      </c>
      <c r="J16" s="132">
        <f t="shared" si="0"/>
        <v>0</v>
      </c>
      <c r="K16" s="132">
        <f t="shared" si="0"/>
        <v>0</v>
      </c>
      <c r="L16" s="132">
        <f t="shared" si="0"/>
        <v>0</v>
      </c>
      <c r="M16" s="132">
        <f t="shared" si="0"/>
        <v>0</v>
      </c>
      <c r="N16" s="132">
        <f t="shared" si="0"/>
        <v>0</v>
      </c>
      <c r="O16" s="132">
        <f t="shared" si="0"/>
        <v>0</v>
      </c>
      <c r="P16" s="132">
        <f t="shared" si="0"/>
        <v>0</v>
      </c>
      <c r="Q16" s="132">
        <f t="shared" si="0"/>
        <v>0</v>
      </c>
      <c r="R16" s="131" t="str">
        <f>IF(OR(AND(C16&lt;&gt;0,A16="E. Other Income:"),AND(C16&lt;&gt;0,A16="")),"Error:  Describe Source of Other Income","")</f>
        <v/>
      </c>
    </row>
    <row r="17" spans="1:18" ht="12.75" customHeight="1" x14ac:dyDescent="0.2">
      <c r="A17" s="127" t="s">
        <v>491</v>
      </c>
      <c r="B17" s="128"/>
      <c r="C17" s="129"/>
      <c r="D17" s="132">
        <f>C17*(1+$K$10)</f>
        <v>0</v>
      </c>
      <c r="E17" s="132">
        <f t="shared" si="0"/>
        <v>0</v>
      </c>
      <c r="F17" s="132">
        <f t="shared" si="0"/>
        <v>0</v>
      </c>
      <c r="G17" s="132">
        <f t="shared" si="0"/>
        <v>0</v>
      </c>
      <c r="H17" s="132">
        <f t="shared" si="0"/>
        <v>0</v>
      </c>
      <c r="I17" s="132">
        <f t="shared" si="0"/>
        <v>0</v>
      </c>
      <c r="J17" s="132">
        <f t="shared" si="0"/>
        <v>0</v>
      </c>
      <c r="K17" s="132">
        <f t="shared" si="0"/>
        <v>0</v>
      </c>
      <c r="L17" s="132">
        <f t="shared" si="0"/>
        <v>0</v>
      </c>
      <c r="M17" s="132">
        <f t="shared" si="0"/>
        <v>0</v>
      </c>
      <c r="N17" s="132">
        <f t="shared" si="0"/>
        <v>0</v>
      </c>
      <c r="O17" s="132">
        <f t="shared" si="0"/>
        <v>0</v>
      </c>
      <c r="P17" s="132">
        <f t="shared" si="0"/>
        <v>0</v>
      </c>
      <c r="Q17" s="132">
        <f t="shared" si="0"/>
        <v>0</v>
      </c>
      <c r="R17" s="131" t="str">
        <f>IF(AND(C17&lt;&gt;0,A17="F. Other Income:"),"Describe Other Source of Income","")</f>
        <v/>
      </c>
    </row>
    <row r="18" spans="1:18" ht="12.75" customHeight="1" x14ac:dyDescent="0.2">
      <c r="A18" s="869" t="s">
        <v>500</v>
      </c>
      <c r="B18" s="870"/>
      <c r="C18" s="130">
        <f>SUM(C15:C17)</f>
        <v>0</v>
      </c>
      <c r="D18" s="130">
        <f t="shared" ref="D18:Q18" si="1">SUM(D15:D17)</f>
        <v>0</v>
      </c>
      <c r="E18" s="130">
        <f t="shared" si="1"/>
        <v>0</v>
      </c>
      <c r="F18" s="130">
        <f t="shared" si="1"/>
        <v>0</v>
      </c>
      <c r="G18" s="130">
        <f t="shared" si="1"/>
        <v>0</v>
      </c>
      <c r="H18" s="130">
        <f t="shared" si="1"/>
        <v>0</v>
      </c>
      <c r="I18" s="130">
        <f t="shared" si="1"/>
        <v>0</v>
      </c>
      <c r="J18" s="130">
        <f t="shared" si="1"/>
        <v>0</v>
      </c>
      <c r="K18" s="130">
        <f t="shared" si="1"/>
        <v>0</v>
      </c>
      <c r="L18" s="130">
        <f t="shared" si="1"/>
        <v>0</v>
      </c>
      <c r="M18" s="130">
        <f t="shared" si="1"/>
        <v>0</v>
      </c>
      <c r="N18" s="130">
        <f t="shared" si="1"/>
        <v>0</v>
      </c>
      <c r="O18" s="130">
        <f t="shared" si="1"/>
        <v>0</v>
      </c>
      <c r="P18" s="130">
        <f t="shared" si="1"/>
        <v>0</v>
      </c>
      <c r="Q18" s="130">
        <f t="shared" si="1"/>
        <v>0</v>
      </c>
    </row>
    <row r="19" spans="1:18" ht="12.75" customHeight="1" x14ac:dyDescent="0.2">
      <c r="A19" s="871" t="s">
        <v>499</v>
      </c>
      <c r="B19" s="872"/>
      <c r="D19" s="133"/>
      <c r="E19" s="133"/>
      <c r="F19" s="133"/>
      <c r="G19" s="133"/>
      <c r="H19" s="133"/>
      <c r="I19" s="133"/>
      <c r="J19" s="133"/>
      <c r="K19" s="133"/>
      <c r="L19" s="133"/>
      <c r="M19" s="133"/>
      <c r="N19" s="133"/>
      <c r="O19" s="133"/>
      <c r="P19" s="133"/>
      <c r="Q19" s="133"/>
    </row>
    <row r="20" spans="1:18" ht="12.75" customHeight="1" x14ac:dyDescent="0.2">
      <c r="A20" s="127" t="s">
        <v>492</v>
      </c>
      <c r="B20" s="128" t="s">
        <v>482</v>
      </c>
      <c r="C20" s="129"/>
      <c r="D20" s="130">
        <f t="shared" ref="D20:Q20" si="2">C20*(1+$N$10)</f>
        <v>0</v>
      </c>
      <c r="E20" s="130">
        <f t="shared" si="2"/>
        <v>0</v>
      </c>
      <c r="F20" s="130">
        <f t="shared" si="2"/>
        <v>0</v>
      </c>
      <c r="G20" s="130">
        <f t="shared" si="2"/>
        <v>0</v>
      </c>
      <c r="H20" s="130">
        <f t="shared" si="2"/>
        <v>0</v>
      </c>
      <c r="I20" s="130">
        <f t="shared" si="2"/>
        <v>0</v>
      </c>
      <c r="J20" s="130">
        <f t="shared" si="2"/>
        <v>0</v>
      </c>
      <c r="K20" s="130">
        <f t="shared" si="2"/>
        <v>0</v>
      </c>
      <c r="L20" s="130">
        <f t="shared" si="2"/>
        <v>0</v>
      </c>
      <c r="M20" s="130">
        <f t="shared" si="2"/>
        <v>0</v>
      </c>
      <c r="N20" s="130">
        <f t="shared" si="2"/>
        <v>0</v>
      </c>
      <c r="O20" s="130">
        <f t="shared" si="2"/>
        <v>0</v>
      </c>
      <c r="P20" s="130">
        <f t="shared" si="2"/>
        <v>0</v>
      </c>
      <c r="Q20" s="130">
        <f t="shared" si="2"/>
        <v>0</v>
      </c>
    </row>
    <row r="21" spans="1:18" ht="12.75" customHeight="1" x14ac:dyDescent="0.2">
      <c r="A21" s="127" t="s">
        <v>492</v>
      </c>
      <c r="B21" s="128" t="s">
        <v>482</v>
      </c>
      <c r="C21" s="129"/>
      <c r="D21" s="130">
        <f t="shared" ref="D21:Q21" si="3">C21*(1+$N$10)</f>
        <v>0</v>
      </c>
      <c r="E21" s="130">
        <f t="shared" si="3"/>
        <v>0</v>
      </c>
      <c r="F21" s="130">
        <f t="shared" si="3"/>
        <v>0</v>
      </c>
      <c r="G21" s="130">
        <f t="shared" si="3"/>
        <v>0</v>
      </c>
      <c r="H21" s="130">
        <f t="shared" si="3"/>
        <v>0</v>
      </c>
      <c r="I21" s="130">
        <f t="shared" si="3"/>
        <v>0</v>
      </c>
      <c r="J21" s="130">
        <f t="shared" si="3"/>
        <v>0</v>
      </c>
      <c r="K21" s="130">
        <f t="shared" si="3"/>
        <v>0</v>
      </c>
      <c r="L21" s="130">
        <f t="shared" si="3"/>
        <v>0</v>
      </c>
      <c r="M21" s="130">
        <f t="shared" si="3"/>
        <v>0</v>
      </c>
      <c r="N21" s="130">
        <f t="shared" si="3"/>
        <v>0</v>
      </c>
      <c r="O21" s="130">
        <f t="shared" si="3"/>
        <v>0</v>
      </c>
      <c r="P21" s="130">
        <f t="shared" si="3"/>
        <v>0</v>
      </c>
      <c r="Q21" s="130">
        <f t="shared" si="3"/>
        <v>0</v>
      </c>
    </row>
    <row r="22" spans="1:18" ht="12.75" customHeight="1" x14ac:dyDescent="0.2">
      <c r="A22" s="127" t="s">
        <v>492</v>
      </c>
      <c r="B22" s="128" t="s">
        <v>482</v>
      </c>
      <c r="C22" s="129"/>
      <c r="D22" s="130">
        <f t="shared" ref="D22:Q22" si="4">C22*(1+$N$10)</f>
        <v>0</v>
      </c>
      <c r="E22" s="130">
        <f t="shared" si="4"/>
        <v>0</v>
      </c>
      <c r="F22" s="130">
        <f t="shared" si="4"/>
        <v>0</v>
      </c>
      <c r="G22" s="130">
        <f t="shared" si="4"/>
        <v>0</v>
      </c>
      <c r="H22" s="130">
        <f t="shared" si="4"/>
        <v>0</v>
      </c>
      <c r="I22" s="130">
        <f t="shared" si="4"/>
        <v>0</v>
      </c>
      <c r="J22" s="130">
        <f t="shared" si="4"/>
        <v>0</v>
      </c>
      <c r="K22" s="130">
        <f t="shared" si="4"/>
        <v>0</v>
      </c>
      <c r="L22" s="130">
        <f t="shared" si="4"/>
        <v>0</v>
      </c>
      <c r="M22" s="130">
        <f t="shared" si="4"/>
        <v>0</v>
      </c>
      <c r="N22" s="130">
        <f t="shared" si="4"/>
        <v>0</v>
      </c>
      <c r="O22" s="130">
        <f t="shared" si="4"/>
        <v>0</v>
      </c>
      <c r="P22" s="130">
        <f t="shared" si="4"/>
        <v>0</v>
      </c>
      <c r="Q22" s="130">
        <f t="shared" si="4"/>
        <v>0</v>
      </c>
    </row>
    <row r="23" spans="1:18" ht="12.75" customHeight="1" x14ac:dyDescent="0.2">
      <c r="A23" s="127" t="s">
        <v>492</v>
      </c>
      <c r="B23" s="128" t="s">
        <v>482</v>
      </c>
      <c r="C23" s="129"/>
      <c r="D23" s="130">
        <f t="shared" ref="D23:Q23" si="5">C23*(1+$N$10)</f>
        <v>0</v>
      </c>
      <c r="E23" s="130">
        <f t="shared" si="5"/>
        <v>0</v>
      </c>
      <c r="F23" s="130">
        <f t="shared" si="5"/>
        <v>0</v>
      </c>
      <c r="G23" s="130">
        <f t="shared" si="5"/>
        <v>0</v>
      </c>
      <c r="H23" s="130">
        <f t="shared" si="5"/>
        <v>0</v>
      </c>
      <c r="I23" s="130">
        <f t="shared" si="5"/>
        <v>0</v>
      </c>
      <c r="J23" s="130">
        <f t="shared" si="5"/>
        <v>0</v>
      </c>
      <c r="K23" s="130">
        <f t="shared" si="5"/>
        <v>0</v>
      </c>
      <c r="L23" s="130">
        <f t="shared" si="5"/>
        <v>0</v>
      </c>
      <c r="M23" s="130">
        <f t="shared" si="5"/>
        <v>0</v>
      </c>
      <c r="N23" s="130">
        <f t="shared" si="5"/>
        <v>0</v>
      </c>
      <c r="O23" s="130">
        <f t="shared" si="5"/>
        <v>0</v>
      </c>
      <c r="P23" s="130">
        <f t="shared" si="5"/>
        <v>0</v>
      </c>
      <c r="Q23" s="130">
        <f t="shared" si="5"/>
        <v>0</v>
      </c>
    </row>
    <row r="24" spans="1:18" ht="12.75" customHeight="1" x14ac:dyDescent="0.2">
      <c r="A24" s="127" t="s">
        <v>492</v>
      </c>
      <c r="B24" s="128" t="s">
        <v>482</v>
      </c>
      <c r="C24" s="129"/>
      <c r="D24" s="130">
        <f t="shared" ref="D24:Q24" si="6">C24*(1+$N$10)</f>
        <v>0</v>
      </c>
      <c r="E24" s="130">
        <f t="shared" si="6"/>
        <v>0</v>
      </c>
      <c r="F24" s="130">
        <f t="shared" si="6"/>
        <v>0</v>
      </c>
      <c r="G24" s="130">
        <f t="shared" si="6"/>
        <v>0</v>
      </c>
      <c r="H24" s="130">
        <f t="shared" si="6"/>
        <v>0</v>
      </c>
      <c r="I24" s="130">
        <f t="shared" si="6"/>
        <v>0</v>
      </c>
      <c r="J24" s="130">
        <f t="shared" si="6"/>
        <v>0</v>
      </c>
      <c r="K24" s="130">
        <f t="shared" si="6"/>
        <v>0</v>
      </c>
      <c r="L24" s="130">
        <f t="shared" si="6"/>
        <v>0</v>
      </c>
      <c r="M24" s="130">
        <f t="shared" si="6"/>
        <v>0</v>
      </c>
      <c r="N24" s="130">
        <f t="shared" si="6"/>
        <v>0</v>
      </c>
      <c r="O24" s="130">
        <f t="shared" si="6"/>
        <v>0</v>
      </c>
      <c r="P24" s="130">
        <f t="shared" si="6"/>
        <v>0</v>
      </c>
      <c r="Q24" s="130">
        <f t="shared" si="6"/>
        <v>0</v>
      </c>
    </row>
    <row r="25" spans="1:18" ht="12.75" customHeight="1" x14ac:dyDescent="0.2">
      <c r="A25" s="127" t="s">
        <v>492</v>
      </c>
      <c r="B25" s="128" t="s">
        <v>482</v>
      </c>
      <c r="C25" s="134"/>
      <c r="D25" s="130">
        <f t="shared" ref="D25:Q25" si="7">C25*(1+$N$10)</f>
        <v>0</v>
      </c>
      <c r="E25" s="130">
        <f t="shared" si="7"/>
        <v>0</v>
      </c>
      <c r="F25" s="130">
        <f t="shared" si="7"/>
        <v>0</v>
      </c>
      <c r="G25" s="130">
        <f t="shared" si="7"/>
        <v>0</v>
      </c>
      <c r="H25" s="130">
        <f t="shared" si="7"/>
        <v>0</v>
      </c>
      <c r="I25" s="130">
        <f t="shared" si="7"/>
        <v>0</v>
      </c>
      <c r="J25" s="130">
        <f t="shared" si="7"/>
        <v>0</v>
      </c>
      <c r="K25" s="130">
        <f t="shared" si="7"/>
        <v>0</v>
      </c>
      <c r="L25" s="130">
        <f t="shared" si="7"/>
        <v>0</v>
      </c>
      <c r="M25" s="130">
        <f t="shared" si="7"/>
        <v>0</v>
      </c>
      <c r="N25" s="130">
        <f t="shared" si="7"/>
        <v>0</v>
      </c>
      <c r="O25" s="130">
        <f t="shared" si="7"/>
        <v>0</v>
      </c>
      <c r="P25" s="130">
        <f t="shared" si="7"/>
        <v>0</v>
      </c>
      <c r="Q25" s="130">
        <f t="shared" si="7"/>
        <v>0</v>
      </c>
    </row>
    <row r="26" spans="1:18" ht="12.75" customHeight="1" x14ac:dyDescent="0.2">
      <c r="A26" s="127" t="s">
        <v>492</v>
      </c>
      <c r="B26" s="128" t="s">
        <v>482</v>
      </c>
      <c r="C26" s="134"/>
      <c r="D26" s="130">
        <f t="shared" ref="D26" si="8">C26*(1+$N$10)</f>
        <v>0</v>
      </c>
      <c r="E26" s="130">
        <f t="shared" ref="E26" si="9">D26*(1+$N$10)</f>
        <v>0</v>
      </c>
      <c r="F26" s="130">
        <f t="shared" ref="F26" si="10">E26*(1+$N$10)</f>
        <v>0</v>
      </c>
      <c r="G26" s="130">
        <f t="shared" ref="G26" si="11">F26*(1+$N$10)</f>
        <v>0</v>
      </c>
      <c r="H26" s="130">
        <f t="shared" ref="H26" si="12">G26*(1+$N$10)</f>
        <v>0</v>
      </c>
      <c r="I26" s="130">
        <f t="shared" ref="I26" si="13">H26*(1+$N$10)</f>
        <v>0</v>
      </c>
      <c r="J26" s="130">
        <f t="shared" ref="J26" si="14">I26*(1+$N$10)</f>
        <v>0</v>
      </c>
      <c r="K26" s="130">
        <f t="shared" ref="K26" si="15">J26*(1+$N$10)</f>
        <v>0</v>
      </c>
      <c r="L26" s="130">
        <f t="shared" ref="L26" si="16">K26*(1+$N$10)</f>
        <v>0</v>
      </c>
      <c r="M26" s="130">
        <f t="shared" ref="M26" si="17">L26*(1+$N$10)</f>
        <v>0</v>
      </c>
      <c r="N26" s="130">
        <f t="shared" ref="N26" si="18">M26*(1+$N$10)</f>
        <v>0</v>
      </c>
      <c r="O26" s="130">
        <f t="shared" ref="O26" si="19">N26*(1+$N$10)</f>
        <v>0</v>
      </c>
      <c r="P26" s="130">
        <f t="shared" ref="P26" si="20">O26*(1+$N$10)</f>
        <v>0</v>
      </c>
      <c r="Q26" s="130">
        <f t="shared" ref="Q26" si="21">P26*(1+$N$10)</f>
        <v>0</v>
      </c>
    </row>
    <row r="27" spans="1:18" ht="12.75" customHeight="1" x14ac:dyDescent="0.2">
      <c r="A27" s="127" t="s">
        <v>492</v>
      </c>
      <c r="B27" s="128" t="s">
        <v>482</v>
      </c>
      <c r="C27" s="134"/>
      <c r="D27" s="130">
        <f t="shared" ref="D27:Q27" si="22">C27*(1+$N$10)</f>
        <v>0</v>
      </c>
      <c r="E27" s="130">
        <f t="shared" si="22"/>
        <v>0</v>
      </c>
      <c r="F27" s="130">
        <f t="shared" si="22"/>
        <v>0</v>
      </c>
      <c r="G27" s="130">
        <f t="shared" si="22"/>
        <v>0</v>
      </c>
      <c r="H27" s="130">
        <f t="shared" si="22"/>
        <v>0</v>
      </c>
      <c r="I27" s="130">
        <f t="shared" si="22"/>
        <v>0</v>
      </c>
      <c r="J27" s="130">
        <f t="shared" si="22"/>
        <v>0</v>
      </c>
      <c r="K27" s="130">
        <f t="shared" si="22"/>
        <v>0</v>
      </c>
      <c r="L27" s="130">
        <f t="shared" si="22"/>
        <v>0</v>
      </c>
      <c r="M27" s="130">
        <f t="shared" si="22"/>
        <v>0</v>
      </c>
      <c r="N27" s="130">
        <f t="shared" si="22"/>
        <v>0</v>
      </c>
      <c r="O27" s="130">
        <f t="shared" si="22"/>
        <v>0</v>
      </c>
      <c r="P27" s="130">
        <f t="shared" si="22"/>
        <v>0</v>
      </c>
      <c r="Q27" s="130">
        <f t="shared" si="22"/>
        <v>0</v>
      </c>
    </row>
    <row r="28" spans="1:18" ht="12.75" customHeight="1" x14ac:dyDescent="0.2">
      <c r="A28" s="127" t="s">
        <v>492</v>
      </c>
      <c r="B28" s="128" t="s">
        <v>482</v>
      </c>
      <c r="C28" s="134"/>
      <c r="D28" s="130">
        <f t="shared" ref="D28:D33" si="23">C28*(1+$N$10)</f>
        <v>0</v>
      </c>
      <c r="E28" s="130">
        <f t="shared" ref="E28:E33" si="24">D28*(1+$N$10)</f>
        <v>0</v>
      </c>
      <c r="F28" s="130">
        <f t="shared" ref="F28:F33" si="25">E28*(1+$N$10)</f>
        <v>0</v>
      </c>
      <c r="G28" s="130">
        <f t="shared" ref="G28:G33" si="26">F28*(1+$N$10)</f>
        <v>0</v>
      </c>
      <c r="H28" s="130">
        <f t="shared" ref="H28:H33" si="27">G28*(1+$N$10)</f>
        <v>0</v>
      </c>
      <c r="I28" s="130">
        <f t="shared" ref="I28:I33" si="28">H28*(1+$N$10)</f>
        <v>0</v>
      </c>
      <c r="J28" s="130">
        <f t="shared" ref="J28:J33" si="29">I28*(1+$N$10)</f>
        <v>0</v>
      </c>
      <c r="K28" s="130">
        <f t="shared" ref="K28:K33" si="30">J28*(1+$N$10)</f>
        <v>0</v>
      </c>
      <c r="L28" s="130">
        <f t="shared" ref="L28:L33" si="31">K28*(1+$N$10)</f>
        <v>0</v>
      </c>
      <c r="M28" s="130">
        <f t="shared" ref="M28:M33" si="32">L28*(1+$N$10)</f>
        <v>0</v>
      </c>
      <c r="N28" s="130">
        <f t="shared" ref="N28:N33" si="33">M28*(1+$N$10)</f>
        <v>0</v>
      </c>
      <c r="O28" s="130">
        <f t="shared" ref="O28:O33" si="34">N28*(1+$N$10)</f>
        <v>0</v>
      </c>
      <c r="P28" s="130">
        <f t="shared" ref="P28:P33" si="35">O28*(1+$N$10)</f>
        <v>0</v>
      </c>
      <c r="Q28" s="130">
        <f t="shared" ref="Q28:Q33" si="36">P28*(1+$N$10)</f>
        <v>0</v>
      </c>
    </row>
    <row r="29" spans="1:18" ht="12.75" customHeight="1" x14ac:dyDescent="0.2">
      <c r="A29" s="127" t="s">
        <v>492</v>
      </c>
      <c r="B29" s="128" t="s">
        <v>482</v>
      </c>
      <c r="C29" s="134"/>
      <c r="D29" s="130">
        <f t="shared" si="23"/>
        <v>0</v>
      </c>
      <c r="E29" s="130">
        <f t="shared" si="24"/>
        <v>0</v>
      </c>
      <c r="F29" s="130">
        <f t="shared" si="25"/>
        <v>0</v>
      </c>
      <c r="G29" s="130">
        <f t="shared" si="26"/>
        <v>0</v>
      </c>
      <c r="H29" s="130">
        <f t="shared" si="27"/>
        <v>0</v>
      </c>
      <c r="I29" s="130">
        <f t="shared" si="28"/>
        <v>0</v>
      </c>
      <c r="J29" s="130">
        <f t="shared" si="29"/>
        <v>0</v>
      </c>
      <c r="K29" s="130">
        <f t="shared" si="30"/>
        <v>0</v>
      </c>
      <c r="L29" s="130">
        <f t="shared" si="31"/>
        <v>0</v>
      </c>
      <c r="M29" s="130">
        <f t="shared" si="32"/>
        <v>0</v>
      </c>
      <c r="N29" s="130">
        <f t="shared" si="33"/>
        <v>0</v>
      </c>
      <c r="O29" s="130">
        <f t="shared" si="34"/>
        <v>0</v>
      </c>
      <c r="P29" s="130">
        <f t="shared" si="35"/>
        <v>0</v>
      </c>
      <c r="Q29" s="130">
        <f t="shared" si="36"/>
        <v>0</v>
      </c>
    </row>
    <row r="30" spans="1:18" ht="12.75" customHeight="1" x14ac:dyDescent="0.2">
      <c r="A30" s="127" t="s">
        <v>492</v>
      </c>
      <c r="B30" s="128" t="s">
        <v>482</v>
      </c>
      <c r="C30" s="134"/>
      <c r="D30" s="130">
        <f t="shared" si="23"/>
        <v>0</v>
      </c>
      <c r="E30" s="130">
        <f t="shared" si="24"/>
        <v>0</v>
      </c>
      <c r="F30" s="130">
        <f t="shared" si="25"/>
        <v>0</v>
      </c>
      <c r="G30" s="130">
        <f t="shared" si="26"/>
        <v>0</v>
      </c>
      <c r="H30" s="130">
        <f t="shared" si="27"/>
        <v>0</v>
      </c>
      <c r="I30" s="130">
        <f t="shared" si="28"/>
        <v>0</v>
      </c>
      <c r="J30" s="130">
        <f t="shared" si="29"/>
        <v>0</v>
      </c>
      <c r="K30" s="130">
        <f t="shared" si="30"/>
        <v>0</v>
      </c>
      <c r="L30" s="130">
        <f t="shared" si="31"/>
        <v>0</v>
      </c>
      <c r="M30" s="130">
        <f t="shared" si="32"/>
        <v>0</v>
      </c>
      <c r="N30" s="130">
        <f t="shared" si="33"/>
        <v>0</v>
      </c>
      <c r="O30" s="130">
        <f t="shared" si="34"/>
        <v>0</v>
      </c>
      <c r="P30" s="130">
        <f t="shared" si="35"/>
        <v>0</v>
      </c>
      <c r="Q30" s="130">
        <f t="shared" si="36"/>
        <v>0</v>
      </c>
    </row>
    <row r="31" spans="1:18" ht="12.75" customHeight="1" x14ac:dyDescent="0.2">
      <c r="A31" s="127" t="s">
        <v>492</v>
      </c>
      <c r="B31" s="128" t="s">
        <v>482</v>
      </c>
      <c r="C31" s="134"/>
      <c r="D31" s="130">
        <f t="shared" si="23"/>
        <v>0</v>
      </c>
      <c r="E31" s="130">
        <f t="shared" si="24"/>
        <v>0</v>
      </c>
      <c r="F31" s="130">
        <f t="shared" si="25"/>
        <v>0</v>
      </c>
      <c r="G31" s="130">
        <f t="shared" si="26"/>
        <v>0</v>
      </c>
      <c r="H31" s="130">
        <f t="shared" si="27"/>
        <v>0</v>
      </c>
      <c r="I31" s="130">
        <f t="shared" si="28"/>
        <v>0</v>
      </c>
      <c r="J31" s="130">
        <f t="shared" si="29"/>
        <v>0</v>
      </c>
      <c r="K31" s="130">
        <f t="shared" si="30"/>
        <v>0</v>
      </c>
      <c r="L31" s="130">
        <f t="shared" si="31"/>
        <v>0</v>
      </c>
      <c r="M31" s="130">
        <f t="shared" si="32"/>
        <v>0</v>
      </c>
      <c r="N31" s="130">
        <f t="shared" si="33"/>
        <v>0</v>
      </c>
      <c r="O31" s="130">
        <f t="shared" si="34"/>
        <v>0</v>
      </c>
      <c r="P31" s="130">
        <f t="shared" si="35"/>
        <v>0</v>
      </c>
      <c r="Q31" s="130">
        <f t="shared" si="36"/>
        <v>0</v>
      </c>
    </row>
    <row r="32" spans="1:18" ht="12.75" customHeight="1" x14ac:dyDescent="0.2">
      <c r="A32" s="127" t="s">
        <v>492</v>
      </c>
      <c r="B32" s="128" t="s">
        <v>482</v>
      </c>
      <c r="C32" s="134"/>
      <c r="D32" s="130">
        <f t="shared" si="23"/>
        <v>0</v>
      </c>
      <c r="E32" s="130">
        <f t="shared" si="24"/>
        <v>0</v>
      </c>
      <c r="F32" s="130">
        <f t="shared" si="25"/>
        <v>0</v>
      </c>
      <c r="G32" s="130">
        <f t="shared" si="26"/>
        <v>0</v>
      </c>
      <c r="H32" s="130">
        <f t="shared" si="27"/>
        <v>0</v>
      </c>
      <c r="I32" s="130">
        <f t="shared" si="28"/>
        <v>0</v>
      </c>
      <c r="J32" s="130">
        <f t="shared" si="29"/>
        <v>0</v>
      </c>
      <c r="K32" s="130">
        <f t="shared" si="30"/>
        <v>0</v>
      </c>
      <c r="L32" s="130">
        <f t="shared" si="31"/>
        <v>0</v>
      </c>
      <c r="M32" s="130">
        <f t="shared" si="32"/>
        <v>0</v>
      </c>
      <c r="N32" s="130">
        <f t="shared" si="33"/>
        <v>0</v>
      </c>
      <c r="O32" s="130">
        <f t="shared" si="34"/>
        <v>0</v>
      </c>
      <c r="P32" s="130">
        <f t="shared" si="35"/>
        <v>0</v>
      </c>
      <c r="Q32" s="130">
        <f t="shared" si="36"/>
        <v>0</v>
      </c>
    </row>
    <row r="33" spans="1:19" ht="12.75" customHeight="1" x14ac:dyDescent="0.2">
      <c r="A33" s="127" t="s">
        <v>492</v>
      </c>
      <c r="B33" s="128" t="s">
        <v>482</v>
      </c>
      <c r="C33" s="134"/>
      <c r="D33" s="130">
        <f t="shared" si="23"/>
        <v>0</v>
      </c>
      <c r="E33" s="130">
        <f t="shared" si="24"/>
        <v>0</v>
      </c>
      <c r="F33" s="130">
        <f t="shared" si="25"/>
        <v>0</v>
      </c>
      <c r="G33" s="130">
        <f t="shared" si="26"/>
        <v>0</v>
      </c>
      <c r="H33" s="130">
        <f t="shared" si="27"/>
        <v>0</v>
      </c>
      <c r="I33" s="130">
        <f t="shared" si="28"/>
        <v>0</v>
      </c>
      <c r="J33" s="130">
        <f t="shared" si="29"/>
        <v>0</v>
      </c>
      <c r="K33" s="130">
        <f t="shared" si="30"/>
        <v>0</v>
      </c>
      <c r="L33" s="130">
        <f t="shared" si="31"/>
        <v>0</v>
      </c>
      <c r="M33" s="130">
        <f t="shared" si="32"/>
        <v>0</v>
      </c>
      <c r="N33" s="130">
        <f t="shared" si="33"/>
        <v>0</v>
      </c>
      <c r="O33" s="130">
        <f t="shared" si="34"/>
        <v>0</v>
      </c>
      <c r="P33" s="130">
        <f t="shared" si="35"/>
        <v>0</v>
      </c>
      <c r="Q33" s="130">
        <f t="shared" si="36"/>
        <v>0</v>
      </c>
    </row>
    <row r="34" spans="1:19" ht="12.75" customHeight="1" x14ac:dyDescent="0.2">
      <c r="A34" s="127" t="s">
        <v>492</v>
      </c>
      <c r="B34" s="128" t="s">
        <v>482</v>
      </c>
      <c r="C34" s="134"/>
      <c r="D34" s="130">
        <f t="shared" ref="D34:Q34" si="37">C34*(1+$N$10)</f>
        <v>0</v>
      </c>
      <c r="E34" s="130">
        <f t="shared" si="37"/>
        <v>0</v>
      </c>
      <c r="F34" s="130">
        <f t="shared" si="37"/>
        <v>0</v>
      </c>
      <c r="G34" s="130">
        <f t="shared" si="37"/>
        <v>0</v>
      </c>
      <c r="H34" s="130">
        <f t="shared" si="37"/>
        <v>0</v>
      </c>
      <c r="I34" s="130">
        <f t="shared" si="37"/>
        <v>0</v>
      </c>
      <c r="J34" s="130">
        <f t="shared" si="37"/>
        <v>0</v>
      </c>
      <c r="K34" s="130">
        <f t="shared" si="37"/>
        <v>0</v>
      </c>
      <c r="L34" s="130">
        <f t="shared" si="37"/>
        <v>0</v>
      </c>
      <c r="M34" s="130">
        <f t="shared" si="37"/>
        <v>0</v>
      </c>
      <c r="N34" s="130">
        <f t="shared" si="37"/>
        <v>0</v>
      </c>
      <c r="O34" s="130">
        <f t="shared" si="37"/>
        <v>0</v>
      </c>
      <c r="P34" s="130">
        <f t="shared" si="37"/>
        <v>0</v>
      </c>
      <c r="Q34" s="130">
        <f t="shared" si="37"/>
        <v>0</v>
      </c>
    </row>
    <row r="35" spans="1:19" ht="12.75" customHeight="1" x14ac:dyDescent="0.2">
      <c r="A35" s="127" t="s">
        <v>492</v>
      </c>
      <c r="B35" s="128" t="s">
        <v>482</v>
      </c>
      <c r="C35" s="134"/>
      <c r="D35" s="130">
        <f t="shared" ref="D35:Q35" si="38">C35*(1+$N$10)</f>
        <v>0</v>
      </c>
      <c r="E35" s="130">
        <f t="shared" si="38"/>
        <v>0</v>
      </c>
      <c r="F35" s="130">
        <f t="shared" si="38"/>
        <v>0</v>
      </c>
      <c r="G35" s="130">
        <f t="shared" si="38"/>
        <v>0</v>
      </c>
      <c r="H35" s="130">
        <f t="shared" si="38"/>
        <v>0</v>
      </c>
      <c r="I35" s="130">
        <f t="shared" si="38"/>
        <v>0</v>
      </c>
      <c r="J35" s="130">
        <f t="shared" si="38"/>
        <v>0</v>
      </c>
      <c r="K35" s="130">
        <f t="shared" si="38"/>
        <v>0</v>
      </c>
      <c r="L35" s="130">
        <f t="shared" si="38"/>
        <v>0</v>
      </c>
      <c r="M35" s="130">
        <f t="shared" si="38"/>
        <v>0</v>
      </c>
      <c r="N35" s="130">
        <f t="shared" si="38"/>
        <v>0</v>
      </c>
      <c r="O35" s="130">
        <f t="shared" si="38"/>
        <v>0</v>
      </c>
      <c r="P35" s="130">
        <f t="shared" si="38"/>
        <v>0</v>
      </c>
      <c r="Q35" s="130">
        <f t="shared" si="38"/>
        <v>0</v>
      </c>
    </row>
    <row r="36" spans="1:19" ht="12.75" customHeight="1" x14ac:dyDescent="0.2">
      <c r="A36" s="127" t="s">
        <v>492</v>
      </c>
      <c r="B36" s="128" t="s">
        <v>482</v>
      </c>
      <c r="C36" s="134"/>
      <c r="D36" s="130">
        <f t="shared" ref="D36:Q36" si="39">C36*(1+$N$10)</f>
        <v>0</v>
      </c>
      <c r="E36" s="130">
        <f t="shared" si="39"/>
        <v>0</v>
      </c>
      <c r="F36" s="130">
        <f t="shared" si="39"/>
        <v>0</v>
      </c>
      <c r="G36" s="130">
        <f t="shared" si="39"/>
        <v>0</v>
      </c>
      <c r="H36" s="130">
        <f t="shared" si="39"/>
        <v>0</v>
      </c>
      <c r="I36" s="130">
        <f t="shared" si="39"/>
        <v>0</v>
      </c>
      <c r="J36" s="130">
        <f t="shared" si="39"/>
        <v>0</v>
      </c>
      <c r="K36" s="130">
        <f t="shared" si="39"/>
        <v>0</v>
      </c>
      <c r="L36" s="130">
        <f t="shared" si="39"/>
        <v>0</v>
      </c>
      <c r="M36" s="130">
        <f t="shared" si="39"/>
        <v>0</v>
      </c>
      <c r="N36" s="130">
        <f t="shared" si="39"/>
        <v>0</v>
      </c>
      <c r="O36" s="130">
        <f t="shared" si="39"/>
        <v>0</v>
      </c>
      <c r="P36" s="130">
        <f t="shared" si="39"/>
        <v>0</v>
      </c>
      <c r="Q36" s="130">
        <f t="shared" si="39"/>
        <v>0</v>
      </c>
    </row>
    <row r="37" spans="1:19" ht="12.75" customHeight="1" x14ac:dyDescent="0.2">
      <c r="A37" s="127" t="s">
        <v>492</v>
      </c>
      <c r="B37" s="128" t="s">
        <v>482</v>
      </c>
      <c r="C37" s="134"/>
      <c r="D37" s="130">
        <f t="shared" ref="D37:Q37" si="40">C37*(1+$N$10)</f>
        <v>0</v>
      </c>
      <c r="E37" s="130">
        <f t="shared" si="40"/>
        <v>0</v>
      </c>
      <c r="F37" s="130">
        <f t="shared" si="40"/>
        <v>0</v>
      </c>
      <c r="G37" s="130">
        <f t="shared" si="40"/>
        <v>0</v>
      </c>
      <c r="H37" s="130">
        <f t="shared" si="40"/>
        <v>0</v>
      </c>
      <c r="I37" s="130">
        <f t="shared" si="40"/>
        <v>0</v>
      </c>
      <c r="J37" s="130">
        <f t="shared" si="40"/>
        <v>0</v>
      </c>
      <c r="K37" s="130">
        <f t="shared" si="40"/>
        <v>0</v>
      </c>
      <c r="L37" s="130">
        <f t="shared" si="40"/>
        <v>0</v>
      </c>
      <c r="M37" s="130">
        <f t="shared" si="40"/>
        <v>0</v>
      </c>
      <c r="N37" s="130">
        <f t="shared" si="40"/>
        <v>0</v>
      </c>
      <c r="O37" s="130">
        <f t="shared" si="40"/>
        <v>0</v>
      </c>
      <c r="P37" s="130">
        <f t="shared" si="40"/>
        <v>0</v>
      </c>
      <c r="Q37" s="130">
        <f t="shared" si="40"/>
        <v>0</v>
      </c>
    </row>
    <row r="38" spans="1:19" ht="12.75" customHeight="1" x14ac:dyDescent="0.2">
      <c r="A38" s="127" t="s">
        <v>492</v>
      </c>
      <c r="B38" s="128" t="s">
        <v>482</v>
      </c>
      <c r="C38" s="134"/>
      <c r="D38" s="130">
        <f t="shared" ref="D38:Q38" si="41">C38*(1+$N$10)</f>
        <v>0</v>
      </c>
      <c r="E38" s="130">
        <f t="shared" si="41"/>
        <v>0</v>
      </c>
      <c r="F38" s="130">
        <f t="shared" si="41"/>
        <v>0</v>
      </c>
      <c r="G38" s="130">
        <f t="shared" si="41"/>
        <v>0</v>
      </c>
      <c r="H38" s="130">
        <f t="shared" si="41"/>
        <v>0</v>
      </c>
      <c r="I38" s="130">
        <f t="shared" si="41"/>
        <v>0</v>
      </c>
      <c r="J38" s="130">
        <f t="shared" si="41"/>
        <v>0</v>
      </c>
      <c r="K38" s="130">
        <f t="shared" si="41"/>
        <v>0</v>
      </c>
      <c r="L38" s="130">
        <f t="shared" si="41"/>
        <v>0</v>
      </c>
      <c r="M38" s="130">
        <f t="shared" si="41"/>
        <v>0</v>
      </c>
      <c r="N38" s="130">
        <f t="shared" si="41"/>
        <v>0</v>
      </c>
      <c r="O38" s="130">
        <f t="shared" si="41"/>
        <v>0</v>
      </c>
      <c r="P38" s="130">
        <f t="shared" si="41"/>
        <v>0</v>
      </c>
      <c r="Q38" s="130">
        <f t="shared" si="41"/>
        <v>0</v>
      </c>
    </row>
    <row r="39" spans="1:19" ht="12.75" customHeight="1" x14ac:dyDescent="0.2">
      <c r="A39" s="127" t="s">
        <v>492</v>
      </c>
      <c r="B39" s="128" t="s">
        <v>482</v>
      </c>
      <c r="C39" s="134"/>
      <c r="D39" s="130">
        <f t="shared" ref="D39:Q39" si="42">C39*(1+$N$10)</f>
        <v>0</v>
      </c>
      <c r="E39" s="130">
        <f t="shared" si="42"/>
        <v>0</v>
      </c>
      <c r="F39" s="130">
        <f t="shared" si="42"/>
        <v>0</v>
      </c>
      <c r="G39" s="130">
        <f t="shared" si="42"/>
        <v>0</v>
      </c>
      <c r="H39" s="130">
        <f t="shared" si="42"/>
        <v>0</v>
      </c>
      <c r="I39" s="130">
        <f t="shared" si="42"/>
        <v>0</v>
      </c>
      <c r="J39" s="130">
        <f t="shared" si="42"/>
        <v>0</v>
      </c>
      <c r="K39" s="130">
        <f t="shared" si="42"/>
        <v>0</v>
      </c>
      <c r="L39" s="130">
        <f t="shared" si="42"/>
        <v>0</v>
      </c>
      <c r="M39" s="130">
        <f t="shared" si="42"/>
        <v>0</v>
      </c>
      <c r="N39" s="130">
        <f t="shared" si="42"/>
        <v>0</v>
      </c>
      <c r="O39" s="130">
        <f t="shared" si="42"/>
        <v>0</v>
      </c>
      <c r="P39" s="130">
        <f t="shared" si="42"/>
        <v>0</v>
      </c>
      <c r="Q39" s="130">
        <f t="shared" si="42"/>
        <v>0</v>
      </c>
    </row>
    <row r="40" spans="1:19" ht="12.75" customHeight="1" x14ac:dyDescent="0.2">
      <c r="A40" s="127" t="s">
        <v>492</v>
      </c>
      <c r="B40" s="128" t="s">
        <v>482</v>
      </c>
      <c r="C40" s="134"/>
      <c r="D40" s="130">
        <f t="shared" ref="D40:Q40" si="43">C40*(1+$N$10)</f>
        <v>0</v>
      </c>
      <c r="E40" s="130">
        <f t="shared" si="43"/>
        <v>0</v>
      </c>
      <c r="F40" s="130">
        <f t="shared" si="43"/>
        <v>0</v>
      </c>
      <c r="G40" s="130">
        <f t="shared" si="43"/>
        <v>0</v>
      </c>
      <c r="H40" s="130">
        <f t="shared" si="43"/>
        <v>0</v>
      </c>
      <c r="I40" s="130">
        <f t="shared" si="43"/>
        <v>0</v>
      </c>
      <c r="J40" s="130">
        <f t="shared" si="43"/>
        <v>0</v>
      </c>
      <c r="K40" s="130">
        <f t="shared" si="43"/>
        <v>0</v>
      </c>
      <c r="L40" s="130">
        <f t="shared" si="43"/>
        <v>0</v>
      </c>
      <c r="M40" s="130">
        <f t="shared" si="43"/>
        <v>0</v>
      </c>
      <c r="N40" s="130">
        <f t="shared" si="43"/>
        <v>0</v>
      </c>
      <c r="O40" s="130">
        <f t="shared" si="43"/>
        <v>0</v>
      </c>
      <c r="P40" s="130">
        <f t="shared" si="43"/>
        <v>0</v>
      </c>
      <c r="Q40" s="130">
        <f t="shared" si="43"/>
        <v>0</v>
      </c>
    </row>
    <row r="41" spans="1:19" ht="12.75" customHeight="1" x14ac:dyDescent="0.2">
      <c r="A41" s="127" t="s">
        <v>492</v>
      </c>
      <c r="B41" s="128" t="s">
        <v>482</v>
      </c>
      <c r="C41" s="134"/>
      <c r="D41" s="130">
        <f t="shared" ref="D41:Q41" si="44">C41*(1+$N$10)</f>
        <v>0</v>
      </c>
      <c r="E41" s="130">
        <f t="shared" si="44"/>
        <v>0</v>
      </c>
      <c r="F41" s="130">
        <f t="shared" si="44"/>
        <v>0</v>
      </c>
      <c r="G41" s="130">
        <f t="shared" si="44"/>
        <v>0</v>
      </c>
      <c r="H41" s="130">
        <f t="shared" si="44"/>
        <v>0</v>
      </c>
      <c r="I41" s="130">
        <f t="shared" si="44"/>
        <v>0</v>
      </c>
      <c r="J41" s="130">
        <f t="shared" si="44"/>
        <v>0</v>
      </c>
      <c r="K41" s="130">
        <f t="shared" si="44"/>
        <v>0</v>
      </c>
      <c r="L41" s="130">
        <f t="shared" si="44"/>
        <v>0</v>
      </c>
      <c r="M41" s="130">
        <f t="shared" si="44"/>
        <v>0</v>
      </c>
      <c r="N41" s="130">
        <f t="shared" si="44"/>
        <v>0</v>
      </c>
      <c r="O41" s="130">
        <f t="shared" si="44"/>
        <v>0</v>
      </c>
      <c r="P41" s="130">
        <f t="shared" si="44"/>
        <v>0</v>
      </c>
      <c r="Q41" s="130">
        <f t="shared" si="44"/>
        <v>0</v>
      </c>
    </row>
    <row r="42" spans="1:19" ht="12.75" customHeight="1" x14ac:dyDescent="0.2">
      <c r="A42" s="127" t="s">
        <v>492</v>
      </c>
      <c r="B42" s="128" t="s">
        <v>482</v>
      </c>
      <c r="C42" s="134"/>
      <c r="D42" s="130">
        <f t="shared" ref="D42:Q42" si="45">C42*(1+$N$10)</f>
        <v>0</v>
      </c>
      <c r="E42" s="130">
        <f t="shared" si="45"/>
        <v>0</v>
      </c>
      <c r="F42" s="130">
        <f t="shared" si="45"/>
        <v>0</v>
      </c>
      <c r="G42" s="130">
        <f t="shared" si="45"/>
        <v>0</v>
      </c>
      <c r="H42" s="130">
        <f t="shared" si="45"/>
        <v>0</v>
      </c>
      <c r="I42" s="130">
        <f t="shared" si="45"/>
        <v>0</v>
      </c>
      <c r="J42" s="130">
        <f t="shared" si="45"/>
        <v>0</v>
      </c>
      <c r="K42" s="130">
        <f t="shared" si="45"/>
        <v>0</v>
      </c>
      <c r="L42" s="130">
        <f t="shared" si="45"/>
        <v>0</v>
      </c>
      <c r="M42" s="130">
        <f t="shared" si="45"/>
        <v>0</v>
      </c>
      <c r="N42" s="130">
        <f t="shared" si="45"/>
        <v>0</v>
      </c>
      <c r="O42" s="130">
        <f t="shared" si="45"/>
        <v>0</v>
      </c>
      <c r="P42" s="130">
        <f t="shared" si="45"/>
        <v>0</v>
      </c>
      <c r="Q42" s="130">
        <f t="shared" si="45"/>
        <v>0</v>
      </c>
    </row>
    <row r="43" spans="1:19" ht="12.75" customHeight="1" x14ac:dyDescent="0.2">
      <c r="A43" s="871" t="s">
        <v>493</v>
      </c>
      <c r="B43" s="878"/>
      <c r="C43" s="135">
        <f t="shared" ref="C43:Q43" si="46">SUM(C20:C42)</f>
        <v>0</v>
      </c>
      <c r="D43" s="135">
        <f t="shared" si="46"/>
        <v>0</v>
      </c>
      <c r="E43" s="135">
        <f t="shared" si="46"/>
        <v>0</v>
      </c>
      <c r="F43" s="135">
        <f t="shared" si="46"/>
        <v>0</v>
      </c>
      <c r="G43" s="135">
        <f t="shared" si="46"/>
        <v>0</v>
      </c>
      <c r="H43" s="135">
        <f t="shared" si="46"/>
        <v>0</v>
      </c>
      <c r="I43" s="135">
        <f t="shared" si="46"/>
        <v>0</v>
      </c>
      <c r="J43" s="135">
        <f t="shared" si="46"/>
        <v>0</v>
      </c>
      <c r="K43" s="135">
        <f t="shared" si="46"/>
        <v>0</v>
      </c>
      <c r="L43" s="135">
        <f t="shared" si="46"/>
        <v>0</v>
      </c>
      <c r="M43" s="135">
        <f t="shared" si="46"/>
        <v>0</v>
      </c>
      <c r="N43" s="135">
        <f t="shared" si="46"/>
        <v>0</v>
      </c>
      <c r="O43" s="135">
        <f t="shared" si="46"/>
        <v>0</v>
      </c>
      <c r="P43" s="135">
        <f t="shared" si="46"/>
        <v>0</v>
      </c>
      <c r="Q43" s="135">
        <f t="shared" si="46"/>
        <v>0</v>
      </c>
      <c r="R43" s="136" t="e">
        <f>C43/D8</f>
        <v>#DIV/0!</v>
      </c>
      <c r="S43" s="137" t="s">
        <v>1164</v>
      </c>
    </row>
    <row r="44" spans="1:19" ht="12.75" customHeight="1" x14ac:dyDescent="0.2">
      <c r="A44" s="871" t="s">
        <v>501</v>
      </c>
      <c r="B44" s="878"/>
      <c r="C44" s="130">
        <f t="shared" ref="C44:Q44" si="47">C18-C43</f>
        <v>0</v>
      </c>
      <c r="D44" s="130">
        <f t="shared" si="47"/>
        <v>0</v>
      </c>
      <c r="E44" s="130">
        <f t="shared" si="47"/>
        <v>0</v>
      </c>
      <c r="F44" s="130">
        <f t="shared" si="47"/>
        <v>0</v>
      </c>
      <c r="G44" s="130">
        <f t="shared" si="47"/>
        <v>0</v>
      </c>
      <c r="H44" s="130">
        <f t="shared" si="47"/>
        <v>0</v>
      </c>
      <c r="I44" s="130">
        <f t="shared" si="47"/>
        <v>0</v>
      </c>
      <c r="J44" s="130">
        <f t="shared" si="47"/>
        <v>0</v>
      </c>
      <c r="K44" s="130">
        <f t="shared" si="47"/>
        <v>0</v>
      </c>
      <c r="L44" s="130">
        <f t="shared" si="47"/>
        <v>0</v>
      </c>
      <c r="M44" s="130">
        <f t="shared" si="47"/>
        <v>0</v>
      </c>
      <c r="N44" s="130">
        <f t="shared" si="47"/>
        <v>0</v>
      </c>
      <c r="O44" s="130">
        <f t="shared" si="47"/>
        <v>0</v>
      </c>
      <c r="P44" s="130">
        <f t="shared" si="47"/>
        <v>0</v>
      </c>
      <c r="Q44" s="130">
        <f t="shared" si="47"/>
        <v>0</v>
      </c>
      <c r="R44" s="143"/>
      <c r="S44" s="142"/>
    </row>
    <row r="45" spans="1:19" ht="12.75" customHeight="1" x14ac:dyDescent="0.2">
      <c r="A45" s="877" t="s">
        <v>481</v>
      </c>
      <c r="B45" s="877"/>
      <c r="C45" s="130">
        <f>C44</f>
        <v>0</v>
      </c>
      <c r="D45" s="130">
        <f>C45+D44</f>
        <v>0</v>
      </c>
      <c r="E45" s="130">
        <f t="shared" ref="E45:Q45" si="48">D45+E44</f>
        <v>0</v>
      </c>
      <c r="F45" s="130">
        <f t="shared" si="48"/>
        <v>0</v>
      </c>
      <c r="G45" s="130">
        <f t="shared" si="48"/>
        <v>0</v>
      </c>
      <c r="H45" s="130">
        <f t="shared" si="48"/>
        <v>0</v>
      </c>
      <c r="I45" s="130">
        <f t="shared" si="48"/>
        <v>0</v>
      </c>
      <c r="J45" s="130">
        <f t="shared" si="48"/>
        <v>0</v>
      </c>
      <c r="K45" s="130">
        <f t="shared" si="48"/>
        <v>0</v>
      </c>
      <c r="L45" s="130">
        <f t="shared" si="48"/>
        <v>0</v>
      </c>
      <c r="M45" s="130">
        <f t="shared" si="48"/>
        <v>0</v>
      </c>
      <c r="N45" s="130">
        <f t="shared" si="48"/>
        <v>0</v>
      </c>
      <c r="O45" s="130">
        <f t="shared" si="48"/>
        <v>0</v>
      </c>
      <c r="P45" s="130">
        <f t="shared" si="48"/>
        <v>0</v>
      </c>
      <c r="Q45" s="130">
        <f t="shared" si="48"/>
        <v>0</v>
      </c>
    </row>
    <row r="46" spans="1:19" s="104" customFormat="1" ht="12.75" customHeight="1" x14ac:dyDescent="0.2">
      <c r="A46" s="139"/>
      <c r="B46" s="139"/>
      <c r="C46" s="139"/>
      <c r="D46" s="138"/>
      <c r="E46" s="138"/>
      <c r="F46" s="138"/>
      <c r="G46" s="138"/>
      <c r="H46" s="138"/>
      <c r="I46" s="138"/>
      <c r="J46" s="138"/>
      <c r="K46" s="138"/>
      <c r="L46" s="138"/>
      <c r="M46" s="138"/>
      <c r="N46" s="138"/>
      <c r="O46" s="138"/>
      <c r="P46" s="138"/>
      <c r="Q46" s="138"/>
      <c r="S46" s="116"/>
    </row>
    <row r="47" spans="1:19" s="104" customFormat="1" ht="12.75" customHeight="1" x14ac:dyDescent="0.2">
      <c r="A47" s="139"/>
      <c r="B47" s="139"/>
      <c r="C47" s="139"/>
      <c r="D47" s="138"/>
      <c r="E47" s="138"/>
      <c r="F47" s="138"/>
      <c r="G47" s="138"/>
      <c r="H47" s="138"/>
      <c r="I47" s="138"/>
      <c r="J47" s="138"/>
      <c r="K47" s="138"/>
      <c r="L47" s="138"/>
      <c r="M47" s="138"/>
      <c r="N47" s="138"/>
      <c r="O47" s="138"/>
      <c r="P47" s="138"/>
      <c r="Q47" s="138"/>
      <c r="R47" s="138"/>
      <c r="S47" s="116"/>
    </row>
    <row r="48" spans="1:19" s="104" customFormat="1" ht="11.25" customHeight="1" thickBot="1" x14ac:dyDescent="0.25">
      <c r="A48" s="97" t="s">
        <v>1218</v>
      </c>
      <c r="B48" s="97"/>
      <c r="C48" s="1"/>
      <c r="D48" s="1"/>
      <c r="E48" s="1"/>
      <c r="F48" s="17"/>
      <c r="G48" s="1"/>
      <c r="H48" s="1"/>
      <c r="I48" s="101"/>
      <c r="J48" s="101"/>
      <c r="K48" s="101"/>
      <c r="L48" s="101"/>
      <c r="M48" s="101"/>
      <c r="N48" s="101"/>
      <c r="O48" s="101"/>
      <c r="P48" s="101"/>
      <c r="Q48" s="101"/>
      <c r="R48" s="138"/>
      <c r="S48" s="116"/>
    </row>
    <row r="49" spans="1:17" x14ac:dyDescent="0.2">
      <c r="A49" s="860"/>
      <c r="B49" s="861"/>
      <c r="C49" s="861"/>
      <c r="D49" s="861"/>
      <c r="E49" s="861"/>
      <c r="F49" s="861"/>
      <c r="G49" s="861"/>
      <c r="H49" s="861"/>
      <c r="I49" s="861"/>
      <c r="J49" s="861"/>
      <c r="K49" s="861"/>
      <c r="L49" s="861"/>
      <c r="M49" s="861"/>
      <c r="N49" s="861"/>
      <c r="O49" s="861"/>
      <c r="P49" s="861"/>
      <c r="Q49" s="862"/>
    </row>
    <row r="50" spans="1:17" ht="17.25" customHeight="1" x14ac:dyDescent="0.2">
      <c r="A50" s="863"/>
      <c r="B50" s="864"/>
      <c r="C50" s="864"/>
      <c r="D50" s="864"/>
      <c r="E50" s="864"/>
      <c r="F50" s="864"/>
      <c r="G50" s="864"/>
      <c r="H50" s="864"/>
      <c r="I50" s="864"/>
      <c r="J50" s="864"/>
      <c r="K50" s="864"/>
      <c r="L50" s="864"/>
      <c r="M50" s="864"/>
      <c r="N50" s="864"/>
      <c r="O50" s="864"/>
      <c r="P50" s="864"/>
      <c r="Q50" s="865"/>
    </row>
    <row r="51" spans="1:17" ht="12" customHeight="1" x14ac:dyDescent="0.2">
      <c r="A51" s="863"/>
      <c r="B51" s="864"/>
      <c r="C51" s="864"/>
      <c r="D51" s="864"/>
      <c r="E51" s="864"/>
      <c r="F51" s="864"/>
      <c r="G51" s="864"/>
      <c r="H51" s="864"/>
      <c r="I51" s="864"/>
      <c r="J51" s="864"/>
      <c r="K51" s="864"/>
      <c r="L51" s="864"/>
      <c r="M51" s="864"/>
      <c r="N51" s="864"/>
      <c r="O51" s="864"/>
      <c r="P51" s="864"/>
      <c r="Q51" s="865"/>
    </row>
    <row r="52" spans="1:17" ht="12" customHeight="1" x14ac:dyDescent="0.2">
      <c r="A52" s="863"/>
      <c r="B52" s="864"/>
      <c r="C52" s="864"/>
      <c r="D52" s="864"/>
      <c r="E52" s="864"/>
      <c r="F52" s="864"/>
      <c r="G52" s="864"/>
      <c r="H52" s="864"/>
      <c r="I52" s="864"/>
      <c r="J52" s="864"/>
      <c r="K52" s="864"/>
      <c r="L52" s="864"/>
      <c r="M52" s="864"/>
      <c r="N52" s="864"/>
      <c r="O52" s="864"/>
      <c r="P52" s="864"/>
      <c r="Q52" s="865"/>
    </row>
    <row r="53" spans="1:17" ht="12" customHeight="1" thickBot="1" x14ac:dyDescent="0.25">
      <c r="A53" s="866"/>
      <c r="B53" s="867"/>
      <c r="C53" s="867"/>
      <c r="D53" s="867"/>
      <c r="E53" s="867"/>
      <c r="F53" s="867"/>
      <c r="G53" s="867"/>
      <c r="H53" s="867"/>
      <c r="I53" s="867"/>
      <c r="J53" s="867"/>
      <c r="K53" s="867"/>
      <c r="L53" s="867"/>
      <c r="M53" s="867"/>
      <c r="N53" s="867"/>
      <c r="O53" s="867"/>
      <c r="P53" s="867"/>
      <c r="Q53" s="868"/>
    </row>
    <row r="54" spans="1:17" ht="12" customHeight="1" x14ac:dyDescent="0.2"/>
    <row r="55" spans="1:17" ht="12" customHeight="1" x14ac:dyDescent="0.2"/>
  </sheetData>
  <sheetProtection algorithmName="SHA-512" hashValue="3Ubpfs1U0fk94I3Qrzttjd1WSNxYgFWrkevKrW2sSqUcwVL74UPain6yA/eGgQaQ8vN/9wWWE6ltR68vM0zvvw==" saltValue="9kRDQlY7o6cK36DASoVwv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3">
    <mergeCell ref="A4:C4"/>
    <mergeCell ref="A3:Q3"/>
    <mergeCell ref="A2:Q2"/>
    <mergeCell ref="A49:Q53"/>
    <mergeCell ref="A18:B18"/>
    <mergeCell ref="A19:B19"/>
    <mergeCell ref="H8:L8"/>
    <mergeCell ref="A13:B13"/>
    <mergeCell ref="A11:F11"/>
    <mergeCell ref="A45:B45"/>
    <mergeCell ref="A43:B43"/>
    <mergeCell ref="A44:B44"/>
    <mergeCell ref="P10:Q10"/>
  </mergeCells>
  <conditionalFormatting sqref="A15">
    <cfRule type="expression" dxfId="24" priority="32" stopIfTrue="1">
      <formula>R15&lt;&gt;""</formula>
    </cfRule>
  </conditionalFormatting>
  <conditionalFormatting sqref="A15:A16">
    <cfRule type="expression" dxfId="23" priority="38" stopIfTrue="1">
      <formula>R15&lt;&gt;""</formula>
    </cfRule>
  </conditionalFormatting>
  <conditionalFormatting sqref="A15:A17 A20:A42">
    <cfRule type="expression" dxfId="22" priority="37" stopIfTrue="1">
      <formula>AND(#REF!="   R. Other: (specify)",#REF!&gt;0)</formula>
    </cfRule>
  </conditionalFormatting>
  <conditionalFormatting sqref="A17">
    <cfRule type="expression" dxfId="21" priority="17" stopIfTrue="1">
      <formula>R17&lt;&gt;""</formula>
    </cfRule>
  </conditionalFormatting>
  <conditionalFormatting sqref="A20:A26">
    <cfRule type="expression" dxfId="20" priority="39" stopIfTrue="1">
      <formula>R20&lt;&gt;""</formula>
    </cfRule>
  </conditionalFormatting>
  <conditionalFormatting sqref="A20:A42">
    <cfRule type="expression" dxfId="19" priority="44">
      <formula>#REF!&gt;0</formula>
    </cfRule>
  </conditionalFormatting>
  <conditionalFormatting sqref="A27:A33 A35:A42">
    <cfRule type="expression" dxfId="18" priority="50" stopIfTrue="1">
      <formula>R26&lt;&gt;""</formula>
    </cfRule>
  </conditionalFormatting>
  <conditionalFormatting sqref="A29">
    <cfRule type="expression" dxfId="17" priority="62" stopIfTrue="1">
      <formula>R27&lt;&gt;""</formula>
    </cfRule>
  </conditionalFormatting>
  <conditionalFormatting sqref="A30">
    <cfRule type="expression" dxfId="16" priority="60" stopIfTrue="1">
      <formula>R27&lt;&gt;""</formula>
    </cfRule>
  </conditionalFormatting>
  <conditionalFormatting sqref="A31">
    <cfRule type="expression" dxfId="15" priority="58" stopIfTrue="1">
      <formula>R27&lt;&gt;""</formula>
    </cfRule>
  </conditionalFormatting>
  <conditionalFormatting sqref="A32">
    <cfRule type="expression" dxfId="14" priority="56" stopIfTrue="1">
      <formula>R27&lt;&gt;""</formula>
    </cfRule>
  </conditionalFormatting>
  <conditionalFormatting sqref="A33">
    <cfRule type="expression" dxfId="13" priority="54" stopIfTrue="1">
      <formula>R27&lt;&gt;""</formula>
    </cfRule>
  </conditionalFormatting>
  <conditionalFormatting sqref="A34">
    <cfRule type="expression" dxfId="12" priority="52" stopIfTrue="1">
      <formula>R27&lt;&gt;""</formula>
    </cfRule>
  </conditionalFormatting>
  <conditionalFormatting sqref="B15:B17">
    <cfRule type="expression" dxfId="11" priority="15">
      <formula>AND(C15&gt;0,B15="(specify)")</formula>
    </cfRule>
  </conditionalFormatting>
  <conditionalFormatting sqref="B20:B42">
    <cfRule type="expression" dxfId="10" priority="22">
      <formula>AND(C20&gt;0, B20="(specify)")</formula>
    </cfRule>
  </conditionalFormatting>
  <conditionalFormatting sqref="F48">
    <cfRule type="containsErrors" dxfId="9" priority="26">
      <formula>ISERROR(F48)</formula>
    </cfRule>
  </conditionalFormatting>
  <conditionalFormatting sqref="K10 N10 A13:Q53 R13:R54">
    <cfRule type="expression" dxfId="8" priority="6">
      <formula>$D$9=0</formula>
    </cfRule>
    <cfRule type="expression" dxfId="7" priority="7">
      <formula>$D$9="No"</formula>
    </cfRule>
  </conditionalFormatting>
  <dataValidations xWindow="515" yWindow="388"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9"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type="list"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formula1>"Yes, No"</formula1>
    </dataValidation>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M66"/>
  <sheetViews>
    <sheetView showGridLines="0" zoomScaleNormal="100" zoomScaleSheetLayoutView="100" workbookViewId="0">
      <selection activeCell="A76" sqref="A76"/>
    </sheetView>
  </sheetViews>
  <sheetFormatPr defaultColWidth="7.85546875" defaultRowHeight="13.5" customHeight="1" x14ac:dyDescent="0.2"/>
  <cols>
    <col min="1" max="1" width="45.140625" style="350" customWidth="1"/>
    <col min="2" max="2" width="12.42578125" style="353" hidden="1" customWidth="1"/>
    <col min="3" max="3" width="15.28515625" style="353" customWidth="1"/>
    <col min="4" max="4" width="13.140625" style="353" customWidth="1"/>
    <col min="5" max="5" width="14.7109375" style="353" customWidth="1"/>
    <col min="6" max="6" width="14.7109375" style="512" customWidth="1"/>
    <col min="7" max="7" width="3.42578125" style="353" customWidth="1"/>
    <col min="8" max="8" width="53" style="365" customWidth="1"/>
    <col min="9" max="9" width="3.7109375" style="351" customWidth="1"/>
    <col min="10" max="10" width="26.140625" style="350" hidden="1" customWidth="1"/>
    <col min="11" max="11" width="16.42578125" style="350" hidden="1" customWidth="1"/>
    <col min="12" max="12" width="7.85546875" style="350" hidden="1" customWidth="1"/>
    <col min="13" max="13" width="0" style="350" hidden="1" customWidth="1"/>
    <col min="14" max="16384" width="7.85546875" style="350"/>
  </cols>
  <sheetData>
    <row r="1" spans="1:12" ht="13.5" customHeight="1" x14ac:dyDescent="0.2">
      <c r="A1" s="906" t="s">
        <v>104</v>
      </c>
      <c r="B1" s="906"/>
      <c r="C1" s="906"/>
      <c r="D1" s="906"/>
      <c r="E1" s="906"/>
      <c r="F1" s="906"/>
      <c r="G1" s="625"/>
    </row>
    <row r="2" spans="1:12" ht="13.5" customHeight="1" x14ac:dyDescent="0.2">
      <c r="A2" s="906" t="s">
        <v>108</v>
      </c>
      <c r="B2" s="906"/>
      <c r="C2" s="906"/>
      <c r="D2" s="906"/>
      <c r="E2" s="906"/>
      <c r="F2" s="906"/>
      <c r="G2" s="625"/>
    </row>
    <row r="3" spans="1:12" ht="12.75" x14ac:dyDescent="0.2">
      <c r="A3" s="98" t="s">
        <v>0</v>
      </c>
      <c r="F3" s="623" t="s">
        <v>64</v>
      </c>
      <c r="G3" s="350"/>
      <c r="H3" s="352"/>
    </row>
    <row r="4" spans="1:12" ht="12.75" customHeight="1" x14ac:dyDescent="0.2">
      <c r="A4" s="680" t="str">
        <f>IF('Project Information'!B5="","",'Project Information'!B5)</f>
        <v/>
      </c>
      <c r="B4" s="511"/>
      <c r="C4" s="636"/>
      <c r="D4" s="636"/>
      <c r="F4" s="679">
        <f>'Project Information'!F15</f>
        <v>0</v>
      </c>
      <c r="H4" s="354"/>
    </row>
    <row r="5" spans="1:12" ht="15" customHeight="1" x14ac:dyDescent="0.2">
      <c r="A5" s="920" t="s">
        <v>1540</v>
      </c>
      <c r="B5" s="920"/>
      <c r="C5" s="920"/>
      <c r="D5" s="920"/>
      <c r="E5" s="920"/>
      <c r="F5" s="355"/>
      <c r="H5" s="354"/>
    </row>
    <row r="6" spans="1:12" ht="16.5" customHeight="1" x14ac:dyDescent="0.25">
      <c r="A6" s="356" t="s">
        <v>100</v>
      </c>
      <c r="B6" s="357" t="s">
        <v>41</v>
      </c>
      <c r="C6" s="917" t="s">
        <v>89</v>
      </c>
      <c r="D6" s="917"/>
      <c r="E6" s="753" t="s">
        <v>1555</v>
      </c>
      <c r="F6" s="906"/>
      <c r="G6" s="357"/>
      <c r="H6" s="358"/>
    </row>
    <row r="7" spans="1:12" ht="13.5" customHeight="1" x14ac:dyDescent="0.2">
      <c r="A7" s="626" t="s">
        <v>97</v>
      </c>
      <c r="B7" s="667">
        <f>'Housing Pro Forma'!E22</f>
        <v>0</v>
      </c>
      <c r="C7" s="909">
        <f>IF($F$4=0,0,IF($F$4&lt;21,15%,IF($F$4&gt;=50,5%,10%)))</f>
        <v>0</v>
      </c>
      <c r="D7" s="910"/>
      <c r="E7" s="891">
        <f>'Housing Pro Forma'!C22</f>
        <v>0</v>
      </c>
      <c r="F7" s="891"/>
      <c r="G7" s="360"/>
      <c r="H7" s="358" t="str">
        <f>IF(E7&gt;C7,"Management Fee Exceeds Guideline","")</f>
        <v/>
      </c>
      <c r="J7" s="350" t="s">
        <v>1228</v>
      </c>
      <c r="L7" s="350" t="str">
        <f>IF(E7&lt;=C7,"TRUE","FALSE")</f>
        <v>TRUE</v>
      </c>
    </row>
    <row r="8" spans="1:12" ht="13.5" customHeight="1" x14ac:dyDescent="0.2">
      <c r="A8" s="626" t="s">
        <v>475</v>
      </c>
      <c r="B8" s="359">
        <f>'Housing Pro Forma'!$E$46</f>
        <v>0</v>
      </c>
      <c r="C8" s="911" t="s">
        <v>1297</v>
      </c>
      <c r="D8" s="912"/>
      <c r="E8" s="907">
        <f>ROUND(IF(B8=0,0,B8/$F$4),0)</f>
        <v>0</v>
      </c>
      <c r="F8" s="907"/>
      <c r="G8" s="360"/>
      <c r="H8" s="361" t="str">
        <f>IF(B8=0,"",IF(E8&lt;3200,"Operating Costs does not meet Guideline",IF(E8&gt;6000,"Operating Costs Exceed Guideline","")))</f>
        <v/>
      </c>
      <c r="J8" s="350" t="s">
        <v>1230</v>
      </c>
      <c r="K8" s="350">
        <v>3200</v>
      </c>
    </row>
    <row r="9" spans="1:12" ht="13.5" customHeight="1" x14ac:dyDescent="0.2">
      <c r="A9" s="627" t="s">
        <v>508</v>
      </c>
      <c r="B9" s="424">
        <f>MAX('Housing Pro Forma'!E49:S49)</f>
        <v>0</v>
      </c>
      <c r="C9" s="913" t="s">
        <v>509</v>
      </c>
      <c r="D9" s="914"/>
      <c r="E9" s="684" t="e">
        <f>MIN('Housing Pro Forma'!E49:T49)/F4</f>
        <v>#DIV/0!</v>
      </c>
      <c r="F9" s="684" t="e">
        <f>MAX('Housing Pro Forma'!E49:T49)/F4</f>
        <v>#DIV/0!</v>
      </c>
      <c r="G9" s="362"/>
      <c r="H9" s="363" t="str">
        <f>IF(F4=0,"",IF(AND(E9&lt;250,F9&gt;500),"Annual Replacement Reserves exceed maximum AND do not meet minimum guideline",IF(E9&lt;250,"Annual Replacement Reserves do not meet minimum guideline",IF(F9&gt;500,"Annual Replacement Reserves exceed maximum guideline",""))))</f>
        <v/>
      </c>
      <c r="J9" s="350" t="s">
        <v>1231</v>
      </c>
      <c r="K9" s="350">
        <v>6000</v>
      </c>
    </row>
    <row r="10" spans="1:12" ht="13.5" customHeight="1" x14ac:dyDescent="0.2">
      <c r="A10" s="626" t="s">
        <v>472</v>
      </c>
      <c r="C10" s="915">
        <v>1.05</v>
      </c>
      <c r="D10" s="916"/>
      <c r="E10" s="908">
        <f>IF('Housing Pro Forma'!E64=0,0,SMALL('Housing Pro Forma'!E64:S64,COUNTIF('Housing Pro Forma'!E64:S64,0)+1))</f>
        <v>0</v>
      </c>
      <c r="F10" s="908"/>
      <c r="H10" s="361" t="str">
        <f>IF(E10=0,"",IF(E10&lt;C10,"Min DCR below Guideline",""))</f>
        <v/>
      </c>
      <c r="J10" s="1" t="s">
        <v>1452</v>
      </c>
      <c r="K10" s="350" t="e">
        <f>IF(OR(E9&lt;250,F9&gt;500),IF(E9&lt;250,E9,F9),F9)</f>
        <v>#DIV/0!</v>
      </c>
    </row>
    <row r="11" spans="1:12" ht="13.5" customHeight="1" x14ac:dyDescent="0.2">
      <c r="A11" s="626" t="s">
        <v>473</v>
      </c>
      <c r="C11" s="915">
        <v>1.5</v>
      </c>
      <c r="D11" s="916"/>
      <c r="E11" s="918">
        <f>MAX('Housing Pro Forma'!E64:S64)</f>
        <v>0</v>
      </c>
      <c r="F11" s="918"/>
      <c r="H11" s="361" t="str">
        <f>IF(E11&gt;C11,"Max DCR above Guideline","")</f>
        <v/>
      </c>
      <c r="J11" s="1" t="s">
        <v>1454</v>
      </c>
      <c r="K11" s="422">
        <f>IF(E13="Use DCR",IF(OR(E10&lt;1.05,E11&gt;1.5),IF(E10&lt;1.05,E10,E11),E11),"NA")</f>
        <v>0</v>
      </c>
    </row>
    <row r="12" spans="1:12" ht="13.5" customHeight="1" x14ac:dyDescent="0.2">
      <c r="A12" s="628" t="s">
        <v>1556</v>
      </c>
      <c r="B12" s="596"/>
      <c r="C12" s="913" t="s">
        <v>479</v>
      </c>
      <c r="D12" s="914"/>
      <c r="E12" s="598">
        <f>IF(SUM('Housing Pro Forma'!E65:S65)=0,0,SMALL('Housing Pro Forma'!E65:S65,COUNTIF('Housing Pro Forma'!E65:S65,0)+1))</f>
        <v>0</v>
      </c>
      <c r="F12" s="624">
        <f>IF(SUM('Housing Pro Forma'!E65:S65)=0,0,MAX('Housing Pro Forma'!E65:S65))</f>
        <v>0</v>
      </c>
      <c r="H12" s="358" t="str">
        <f>IF(AND(E12=0,F12=0),"",IF(E12&lt;85%,"EGI% is less than Guideline", IF(F12&gt;100%,"EGI% exceeds Guideline","")))</f>
        <v/>
      </c>
      <c r="J12" s="1" t="s">
        <v>1455</v>
      </c>
      <c r="K12" s="423" t="str">
        <f>IF(OR(E13="Use EGI%",E12&gt;0,F12&gt;0),IF(OR(E12&lt;0.85,F12&gt;1),IF(E12&lt;0.85,E12,F12),F12),"NA")</f>
        <v>NA</v>
      </c>
    </row>
    <row r="13" spans="1:12" ht="13.5" customHeight="1" x14ac:dyDescent="0.2">
      <c r="A13" s="628" t="s">
        <v>1438</v>
      </c>
      <c r="B13" s="364" t="str">
        <f>IF('Development Budget Worksheet'!C119=0,"",'Sources of Funds Worksheet'!D50/'Development Budget Worksheet'!C119)</f>
        <v/>
      </c>
      <c r="C13" s="921"/>
      <c r="D13" s="922"/>
      <c r="E13" s="919" t="str" cm="1">
        <f t="array" ref="E13">IF(OR($B$13&lt;3%, AND(COUNTIF('Sources of Funds Worksheet'!I7:I25, "P&amp;I Payments")=0, SUMPRODUCT( -- ('Sources of Funds Worksheet'!I7:I25 = {"Interest Only","Deferred","Cash Flow Payments"}))&gt;0)), "Use EGI%", "Use DCR")</f>
        <v>Use DCR</v>
      </c>
      <c r="F13" s="919"/>
      <c r="H13" s="358"/>
    </row>
    <row r="14" spans="1:12" ht="16.5" customHeight="1" x14ac:dyDescent="0.25">
      <c r="A14" s="629" t="s">
        <v>556</v>
      </c>
      <c r="C14" s="634"/>
      <c r="D14" s="671"/>
      <c r="E14" s="635"/>
      <c r="F14" s="633"/>
    </row>
    <row r="15" spans="1:12" ht="13.5" customHeight="1" x14ac:dyDescent="0.2">
      <c r="A15" s="626" t="s">
        <v>469</v>
      </c>
      <c r="B15" s="359" t="str">
        <f>IF('Development Budget Worksheet'!$C$30&gt;0,IF('Development Budget Worksheet'!$C$31=0,'Development Budget Worksheet'!$C$36,"FALSE"),"FALSE")</f>
        <v>FALSE</v>
      </c>
      <c r="C15" s="892">
        <v>0.1</v>
      </c>
      <c r="D15" s="893"/>
      <c r="E15" s="898">
        <f>IF(B15="FALSE",0,B15/('Development Budget Worksheet'!$C$42+'Development Budget Worksheet'!C27-'Development Budget Worksheet'!$C$36))</f>
        <v>0</v>
      </c>
      <c r="F15" s="898"/>
      <c r="H15" s="358" t="str">
        <f>IF(E15&gt;C15,"Hard Costs Contingency Exceeds Guideline for New Construction","")</f>
        <v/>
      </c>
      <c r="J15" s="350" t="s">
        <v>1190</v>
      </c>
      <c r="K15" s="366">
        <f>MAX(E15,E16,E17)</f>
        <v>0</v>
      </c>
    </row>
    <row r="16" spans="1:12" ht="13.5" customHeight="1" x14ac:dyDescent="0.2">
      <c r="A16" s="626" t="s">
        <v>470</v>
      </c>
      <c r="B16" s="359" t="str">
        <f>IF('Development Budget Worksheet'!$C$31&gt;0,IF('Development Budget Worksheet'!$C$30=0,'Development Budget Worksheet'!$C$36,"FALSE"),"FALSE")</f>
        <v>FALSE</v>
      </c>
      <c r="C16" s="892">
        <v>0.15</v>
      </c>
      <c r="D16" s="893"/>
      <c r="E16" s="897">
        <f>IF(B16="FALSE",0,B16/('Development Budget Worksheet'!$C$42+'Development Budget Worksheet'!C27-'Development Budget Worksheet'!$C$36))</f>
        <v>0</v>
      </c>
      <c r="F16" s="897"/>
      <c r="H16" s="358" t="str">
        <f>IF(E16&gt;C16,"Hard Costs Contingency Exceeds Guideline for Rehab","")</f>
        <v/>
      </c>
      <c r="J16" s="350" t="s">
        <v>1189</v>
      </c>
      <c r="K16" s="367">
        <f>IF(E15&gt;0,C15,IF(E16&gt;0,C16,IF(E17&gt;0,C17,0)))</f>
        <v>0</v>
      </c>
    </row>
    <row r="17" spans="1:13" ht="13.5" customHeight="1" x14ac:dyDescent="0.2">
      <c r="A17" s="626" t="s">
        <v>471</v>
      </c>
      <c r="B17" s="359" t="str">
        <f>IF('Development Budget Worksheet'!$C$31&gt;0,IF('Development Budget Worksheet'!$C$30&gt;0,'Development Budget Worksheet'!$C$36,"FALSE"),"FALSE")</f>
        <v>FALSE</v>
      </c>
      <c r="C17" s="889">
        <f>IF(E17=0,0,('Development Budget Worksheet'!C30/('Development Budget Worksheet'!C30+'Development Budget Worksheet'!C31)*C15)+('Development Budget Worksheet'!C31/('Development Budget Worksheet'!C30+'Development Budget Worksheet'!C31)*C16))</f>
        <v>0</v>
      </c>
      <c r="D17" s="890"/>
      <c r="E17" s="898">
        <f>IF(B17="FALSE",0,B17/('Development Budget Worksheet'!$C$42+'Development Budget Worksheet'!C27-'Development Budget Worksheet'!$C$36))</f>
        <v>0</v>
      </c>
      <c r="F17" s="898"/>
      <c r="H17" s="358" t="str">
        <f>IF(E17&gt;C17,"Hard Costs Contingency Exceeds Guideline for New/Rehab","")</f>
        <v/>
      </c>
      <c r="J17" s="353"/>
      <c r="K17" s="353"/>
      <c r="L17" s="368"/>
      <c r="M17" s="369"/>
    </row>
    <row r="18" spans="1:13" ht="13.5" customHeight="1" x14ac:dyDescent="0.2">
      <c r="A18" s="626" t="s">
        <v>30</v>
      </c>
      <c r="B18" s="359">
        <f>'Development Budget Worksheet'!C89</f>
        <v>0</v>
      </c>
      <c r="C18" s="892">
        <v>0.03</v>
      </c>
      <c r="D18" s="893"/>
      <c r="E18" s="899">
        <f>IF(B18=0,0,B18/('Development Budget Worksheet'!$C$94-'Development Budget Worksheet'!$C$89))</f>
        <v>0</v>
      </c>
      <c r="F18" s="899"/>
      <c r="H18" s="358" t="str">
        <f>IF(B18=0,"",IF(('Development Budget Worksheet'!$C$94-'Development Budget Worksheet'!$C$89)=0,"Explain why soft cost contingency is included without any other soft costs.",IF(E18&gt;C18,"Cont. Soft Costs Exceed Guideline","")))</f>
        <v/>
      </c>
      <c r="J18" s="353"/>
      <c r="K18" s="353"/>
      <c r="L18" s="368"/>
      <c r="M18" s="353"/>
    </row>
    <row r="19" spans="1:13" ht="13.5" customHeight="1" x14ac:dyDescent="0.2">
      <c r="A19" s="626" t="s">
        <v>98</v>
      </c>
      <c r="B19" s="359">
        <f>'Development Budget Worksheet'!C112</f>
        <v>0</v>
      </c>
      <c r="C19" s="894" t="s">
        <v>1564</v>
      </c>
      <c r="D19" s="895"/>
      <c r="E19" s="900">
        <f>IF(B19=0,0,B19/('Housing Pro Forma'!E46/12))</f>
        <v>0</v>
      </c>
      <c r="F19" s="900"/>
      <c r="H19" s="358" t="str">
        <f>IF(E19&gt;12,"Capitalized Operating Reserves Exceed Guideline","")</f>
        <v/>
      </c>
    </row>
    <row r="20" spans="1:13" ht="13.5" customHeight="1" x14ac:dyDescent="0.2">
      <c r="A20" s="626" t="s">
        <v>489</v>
      </c>
      <c r="B20" s="370">
        <f>'Development Budget Worksheet'!C113</f>
        <v>0</v>
      </c>
      <c r="C20" s="885" t="s">
        <v>490</v>
      </c>
      <c r="D20" s="886"/>
      <c r="E20" s="901">
        <f>IF(B20=0,0,B20/(F4))</f>
        <v>0</v>
      </c>
      <c r="F20" s="901"/>
      <c r="H20" s="361" t="str">
        <f>IF(E20&gt;350,"Capitalized Replacement Reserves Exceeds Guideline","")</f>
        <v/>
      </c>
      <c r="J20" s="1" t="s">
        <v>1450</v>
      </c>
      <c r="K20" s="350">
        <f>E22/15</f>
        <v>0</v>
      </c>
    </row>
    <row r="21" spans="1:13" ht="13.5" customHeight="1" x14ac:dyDescent="0.2">
      <c r="A21" s="626" t="s">
        <v>99</v>
      </c>
      <c r="B21" s="359">
        <f>'Development Budget Worksheet'!$C$114</f>
        <v>0</v>
      </c>
      <c r="C21" s="885" t="s">
        <v>1565</v>
      </c>
      <c r="D21" s="886"/>
      <c r="E21" s="902">
        <f>IF(B21=0,0,B21/('Sources of Funds Worksheet'!K20/12))</f>
        <v>0</v>
      </c>
      <c r="F21" s="902"/>
      <c r="H21" s="358" t="str">
        <f>IF(E21&gt;9,"Debt Service Reserves Exceed Guideline","")</f>
        <v/>
      </c>
      <c r="J21" s="1" t="s">
        <v>1451</v>
      </c>
      <c r="K21" s="350">
        <f>IF(B22=0,0,B22/K20)</f>
        <v>0</v>
      </c>
    </row>
    <row r="22" spans="1:13" ht="13.5" customHeight="1" x14ac:dyDescent="0.2">
      <c r="A22" s="630" t="s">
        <v>504</v>
      </c>
      <c r="B22" s="597">
        <f>'Sources of Funds Worksheet'!D10</f>
        <v>0</v>
      </c>
      <c r="C22" s="887"/>
      <c r="D22" s="888"/>
      <c r="E22" s="903">
        <f>SUM('Housing Pro Forma'!E58:S58)</f>
        <v>0</v>
      </c>
      <c r="F22" s="903"/>
      <c r="H22" s="361" t="str">
        <f>IF(B22=E22,"","DDF repayment on Pro Forma does not match DDF on Sources of funds")</f>
        <v/>
      </c>
      <c r="J22" s="1" t="s">
        <v>1415</v>
      </c>
      <c r="K22" s="350" t="b">
        <f>IF(E22&gt;=B22,TRUE,FALSE)</f>
        <v>1</v>
      </c>
    </row>
    <row r="23" spans="1:13" ht="13.5" customHeight="1" x14ac:dyDescent="0.2">
      <c r="A23" s="631" t="s">
        <v>1374</v>
      </c>
      <c r="B23" s="359">
        <f>SUM('Development Budget Worksheet'!E33:E35)</f>
        <v>0</v>
      </c>
      <c r="C23" s="889">
        <v>0.12</v>
      </c>
      <c r="D23" s="890"/>
      <c r="E23" s="904">
        <f>IF(B23=0,0,B23/SUM('Development Budget Worksheet'!E27,'Development Budget Worksheet'!E30:E32,'Development Budget Worksheet'!E37:E40))</f>
        <v>0</v>
      </c>
      <c r="F23" s="904"/>
      <c r="H23" s="358" t="str">
        <f>IF(E23&gt;C23,"Contractor Fees Exceed Guideline","")</f>
        <v/>
      </c>
    </row>
    <row r="24" spans="1:13" ht="13.5" customHeight="1" x14ac:dyDescent="0.2">
      <c r="A24" s="631" t="s">
        <v>1375</v>
      </c>
      <c r="B24" s="359">
        <f>'Development Budget Worksheet'!E108</f>
        <v>0</v>
      </c>
      <c r="C24" s="889">
        <v>0.15</v>
      </c>
      <c r="D24" s="890"/>
      <c r="E24" s="905">
        <f>IF(B24=0,0,B24/('Development Budget Worksheet'!E123-'Development Budget Worksheet'!E108-'Development Budget Worksheet'!E8-MAX(0,'Feasibility Analysis Worksheet'!B23-('Feasibility Analysis Worksheet'!C23*SUM('Development Budget Worksheet'!E27,'Development Budget Worksheet'!E30:E32,'Development Budget Worksheet'!E37:E40)))-'Development Budget Worksheet'!E117))</f>
        <v>0</v>
      </c>
      <c r="F24" s="905"/>
      <c r="H24" s="358" t="str">
        <f>IF(E24&gt;C24,"Developer Fee Exceeds Guideline","")</f>
        <v/>
      </c>
    </row>
    <row r="25" spans="1:13" ht="16.5" customHeight="1" x14ac:dyDescent="0.25">
      <c r="A25" s="629" t="s">
        <v>539</v>
      </c>
      <c r="C25" s="634"/>
      <c r="D25" s="671"/>
      <c r="E25" s="635"/>
      <c r="F25" s="633"/>
    </row>
    <row r="26" spans="1:13" ht="13.5" customHeight="1" x14ac:dyDescent="0.2">
      <c r="A26" s="630" t="s">
        <v>101</v>
      </c>
      <c r="B26" s="359">
        <f>VLOOKUP(E26,'Sources of Funds Worksheet'!T31:U38,2,0)</f>
        <v>0</v>
      </c>
      <c r="C26" s="880">
        <v>0.02</v>
      </c>
      <c r="D26" s="881"/>
      <c r="E26" s="905">
        <f>MAX('Sources of Funds Worksheet'!T31:T38)</f>
        <v>0</v>
      </c>
      <c r="F26" s="905"/>
      <c r="G26" s="371"/>
      <c r="H26" s="358" t="str">
        <f>IF(AND(E26=0,B26&gt;1),"Loan Fee with no Construction/Interim Loan on Sources of Funds?",IF(E26&gt;C26,"Const. Loan Fee Exceeds Guideline",""))</f>
        <v/>
      </c>
    </row>
    <row r="27" spans="1:13" ht="13.5" customHeight="1" x14ac:dyDescent="0.2">
      <c r="A27" s="626" t="s">
        <v>102</v>
      </c>
      <c r="B27" s="359">
        <f>VLOOKUP(E27,'Sources of Funds Worksheet'!AL6:AM18,2,0)</f>
        <v>0</v>
      </c>
      <c r="C27" s="880">
        <v>0.02</v>
      </c>
      <c r="D27" s="881"/>
      <c r="E27" s="904">
        <f>MAX('Sources of Funds Worksheet'!AL6:AL18)</f>
        <v>0</v>
      </c>
      <c r="F27" s="904"/>
      <c r="G27" s="371"/>
      <c r="H27" s="358" t="str">
        <f>IF(AND(E27=0,B27&gt;1),"Loan Fee with no Permanent Loan on Sources of Funds?",IF(E27&gt;C27,"Permanent Loan Fee Exceeds Guideline",""))</f>
        <v/>
      </c>
    </row>
    <row r="28" spans="1:13" ht="13.5" customHeight="1" x14ac:dyDescent="0.2">
      <c r="A28" s="628" t="s">
        <v>1547</v>
      </c>
      <c r="C28" s="882">
        <v>9.5320000000000002E-2</v>
      </c>
      <c r="D28" s="883"/>
      <c r="E28" s="884">
        <f>MAX('Sources of Funds Worksheet'!E31:E38)</f>
        <v>0</v>
      </c>
      <c r="F28" s="884"/>
      <c r="G28" s="371"/>
      <c r="H28" s="358" t="str">
        <f>IF(E28&gt;C28,"Construction Loan Interest Rate exceeds maximum Guideline","")</f>
        <v/>
      </c>
    </row>
    <row r="29" spans="1:13" ht="13.5" customHeight="1" x14ac:dyDescent="0.2">
      <c r="A29" s="673" t="s">
        <v>480</v>
      </c>
      <c r="B29" s="677" cm="1">
        <f t="array" ref="B29">IF(AND(H29="",H30=""),MAX(E29:F30),MAX(IF(H29:H30&lt;&gt;"",E29:F30,"")))</f>
        <v>0</v>
      </c>
      <c r="C29" s="632" t="s">
        <v>1586</v>
      </c>
      <c r="D29" s="672">
        <v>7.5319999999999998E-2</v>
      </c>
      <c r="E29" s="891">
        <f>MAX('Sources of Funds Worksheet'!AQ6:AQ18)</f>
        <v>0</v>
      </c>
      <c r="F29" s="891"/>
      <c r="G29" s="371"/>
      <c r="H29" s="358" t="str">
        <f>IF(E29&gt;D29,"Highest 15yr Perm Loan Rate exceeds maximum Guideline","")</f>
        <v/>
      </c>
    </row>
    <row r="30" spans="1:13" ht="13.5" customHeight="1" x14ac:dyDescent="0.2">
      <c r="B30" s="676" cm="1">
        <f t="array" ref="B30">MIN(IF(E29:F30=B29,D29:D30))</f>
        <v>7.5319999999999998E-2</v>
      </c>
      <c r="C30" s="632" t="s">
        <v>1587</v>
      </c>
      <c r="D30" s="672">
        <v>7.8030000000000002E-2</v>
      </c>
      <c r="E30" s="884">
        <f>MAX('Sources of Funds Worksheet'!AR6:AR18)</f>
        <v>0</v>
      </c>
      <c r="F30" s="884"/>
      <c r="H30" s="358" t="str">
        <f>IF(E30&gt;D30,"Highest 30yr Perm Loan Rate exceeds maximum Guideline","")</f>
        <v/>
      </c>
    </row>
    <row r="31" spans="1:13" ht="12.75" x14ac:dyDescent="0.2">
      <c r="H31" s="372"/>
    </row>
    <row r="32" spans="1:13" ht="13.5" customHeight="1" x14ac:dyDescent="0.2">
      <c r="F32" s="896"/>
      <c r="G32" s="896"/>
      <c r="H32" s="896"/>
    </row>
    <row r="33" spans="6:8" ht="13.5" customHeight="1" x14ac:dyDescent="0.2">
      <c r="F33" s="896"/>
      <c r="G33" s="896"/>
      <c r="H33" s="896"/>
    </row>
    <row r="34" spans="6:8" ht="27.75" customHeight="1" x14ac:dyDescent="0.2"/>
    <row r="36" spans="6:8" ht="12.75" x14ac:dyDescent="0.2"/>
    <row r="37" spans="6:8" ht="12.75" x14ac:dyDescent="0.2"/>
    <row r="38" spans="6:8" ht="12.75" x14ac:dyDescent="0.2"/>
    <row r="39" spans="6:8" ht="12.75" x14ac:dyDescent="0.2"/>
    <row r="40" spans="6:8" ht="12.75" x14ac:dyDescent="0.2"/>
    <row r="41" spans="6:8" ht="12.75" x14ac:dyDescent="0.2"/>
    <row r="42" spans="6:8" ht="12.75" x14ac:dyDescent="0.2"/>
    <row r="43" spans="6:8" ht="12.75" x14ac:dyDescent="0.2"/>
    <row r="44" spans="6:8" ht="12.75" x14ac:dyDescent="0.2"/>
    <row r="45" spans="6:8" ht="12.75" x14ac:dyDescent="0.2"/>
    <row r="46" spans="6:8" ht="12.75" x14ac:dyDescent="0.2"/>
    <row r="47" spans="6:8" ht="12.75" x14ac:dyDescent="0.2"/>
    <row r="48" spans="6:8" ht="12.75" x14ac:dyDescent="0.2"/>
    <row r="49" ht="12.75" x14ac:dyDescent="0.2"/>
    <row r="50" ht="12.75" x14ac:dyDescent="0.2"/>
    <row r="51" ht="12.75" x14ac:dyDescent="0.2"/>
    <row r="52" ht="12.75" x14ac:dyDescent="0.2"/>
    <row r="53" ht="12.75" x14ac:dyDescent="0.2"/>
    <row r="54" ht="12.75" x14ac:dyDescent="0.2"/>
    <row r="55" ht="12.75" x14ac:dyDescent="0.2"/>
    <row r="56" ht="12.75" x14ac:dyDescent="0.2"/>
    <row r="57" ht="12.75" x14ac:dyDescent="0.2"/>
    <row r="58" ht="12.75" x14ac:dyDescent="0.2"/>
    <row r="59" ht="12.75" x14ac:dyDescent="0.2"/>
    <row r="60" ht="12.75" x14ac:dyDescent="0.2"/>
    <row r="61" ht="12.75" x14ac:dyDescent="0.2"/>
    <row r="62" ht="12.75" x14ac:dyDescent="0.2"/>
    <row r="63" ht="12.75" x14ac:dyDescent="0.2"/>
    <row r="64" ht="12.75" x14ac:dyDescent="0.2"/>
    <row r="65" ht="12.75" x14ac:dyDescent="0.2"/>
    <row r="66" ht="12.75" x14ac:dyDescent="0.2"/>
  </sheetData>
  <sheetProtection algorithmName="SHA-512" hashValue="8rZaNaOWr7FMstCPdlGsqUcnNO8M8NBW6ck4onl5O+dJA/6sTTotMDJSu0UfX2TRj3ySaFg7NmwlQMwIm1ONAQ==" saltValue="AoqwjCe4d0Zs4FeCIAo3AQ=="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47">
    <mergeCell ref="E11:F11"/>
    <mergeCell ref="E15:F15"/>
    <mergeCell ref="E13:F13"/>
    <mergeCell ref="E6:F6"/>
    <mergeCell ref="A5:E5"/>
    <mergeCell ref="C11:D11"/>
    <mergeCell ref="C12:D12"/>
    <mergeCell ref="C13:D13"/>
    <mergeCell ref="C15:D15"/>
    <mergeCell ref="A1:F1"/>
    <mergeCell ref="A2:F2"/>
    <mergeCell ref="E7:F7"/>
    <mergeCell ref="E8:F8"/>
    <mergeCell ref="E10:F10"/>
    <mergeCell ref="C7:D7"/>
    <mergeCell ref="C8:D8"/>
    <mergeCell ref="C9:D9"/>
    <mergeCell ref="C10:D10"/>
    <mergeCell ref="C6:D6"/>
    <mergeCell ref="F33:H33"/>
    <mergeCell ref="F32:H32"/>
    <mergeCell ref="E16:F16"/>
    <mergeCell ref="E17:F17"/>
    <mergeCell ref="E18:F18"/>
    <mergeCell ref="E19:F19"/>
    <mergeCell ref="E20:F20"/>
    <mergeCell ref="E21:F21"/>
    <mergeCell ref="E22:F22"/>
    <mergeCell ref="E23:F23"/>
    <mergeCell ref="E24:F24"/>
    <mergeCell ref="E26:F26"/>
    <mergeCell ref="E27:F27"/>
    <mergeCell ref="E28:F28"/>
    <mergeCell ref="C16:D16"/>
    <mergeCell ref="C17:D17"/>
    <mergeCell ref="C18:D18"/>
    <mergeCell ref="C19:D19"/>
    <mergeCell ref="C26:D26"/>
    <mergeCell ref="C20:D20"/>
    <mergeCell ref="C27:D27"/>
    <mergeCell ref="C28:D28"/>
    <mergeCell ref="E30:F30"/>
    <mergeCell ref="C21:D21"/>
    <mergeCell ref="C22:D22"/>
    <mergeCell ref="C23:D23"/>
    <mergeCell ref="C24:D24"/>
    <mergeCell ref="E29:F29"/>
  </mergeCells>
  <phoneticPr fontId="13" type="noConversion"/>
  <conditionalFormatting sqref="H6:H30">
    <cfRule type="containsText" dxfId="6" priority="27" stopIfTrue="1" operator="containsText" text="OK">
      <formula>NOT(ISERROR(SEARCH("OK",H6)))</formula>
    </cfRule>
  </conditionalFormatting>
  <conditionalFormatting sqref="H9">
    <cfRule type="cellIs" dxfId="5" priority="12" operator="equal">
      <formula>"If below $500, must be Rehab, Assisted Living, or Special Needs"</formula>
    </cfRule>
  </conditionalFormatting>
  <conditionalFormatting sqref="H10:H11 H20 H22:H24">
    <cfRule type="containsText" dxfId="4" priority="28" stopIfTrue="1" operator="containsText" text="Ok">
      <formula>NOT(ISERROR(SEARCH("Ok",H10)))</formula>
    </cfRule>
  </conditionalFormatting>
  <conditionalFormatting sqref="H12:H13">
    <cfRule type="cellIs" dxfId="3" priority="21" operator="equal">
      <formula>"Error less than guideline"</formula>
    </cfRule>
  </conditionalFormatting>
  <conditionalFormatting sqref="H13">
    <cfRule type="cellIs" dxfId="2" priority="22" operator="lessThan">
      <formula>0.03</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3"/>
  <sheetViews>
    <sheetView topLeftCell="A454" workbookViewId="0">
      <selection activeCell="B477" sqref="B477"/>
    </sheetView>
  </sheetViews>
  <sheetFormatPr defaultColWidth="9.140625" defaultRowHeight="12.75" x14ac:dyDescent="0.2"/>
  <cols>
    <col min="1" max="1" width="40.7109375" style="217" customWidth="1"/>
    <col min="2" max="2" width="22.7109375" style="217" customWidth="1"/>
    <col min="3" max="3" width="7.28515625" style="217" bestFit="1" customWidth="1"/>
    <col min="4" max="4" width="84.140625" style="217" bestFit="1" customWidth="1"/>
    <col min="5" max="5" width="29.5703125" style="217" customWidth="1"/>
    <col min="6" max="6" width="11.42578125" style="217" customWidth="1"/>
    <col min="7" max="7" width="13.5703125" style="217" bestFit="1" customWidth="1"/>
    <col min="8" max="8" width="47.7109375" style="407" bestFit="1" customWidth="1"/>
    <col min="9" max="16384" width="9.140625" style="217"/>
  </cols>
  <sheetData>
    <row r="1" spans="1:6" x14ac:dyDescent="0.2">
      <c r="A1" s="214" t="s">
        <v>595</v>
      </c>
      <c r="B1" s="214" t="str">
        <f>'Sources of Funds Worksheet'!A10</f>
        <v>Deferred Developer Fee</v>
      </c>
      <c r="C1" s="214"/>
      <c r="D1" s="215" t="s">
        <v>596</v>
      </c>
      <c r="E1" s="216" t="s">
        <v>1079</v>
      </c>
    </row>
    <row r="2" spans="1:6" x14ac:dyDescent="0.2">
      <c r="A2" s="214" t="s">
        <v>597</v>
      </c>
      <c r="B2" s="218">
        <f>'Sources of Funds Worksheet'!S10</f>
        <v>19</v>
      </c>
      <c r="C2" s="214"/>
      <c r="D2" s="215" t="s">
        <v>596</v>
      </c>
      <c r="E2" s="215" t="s">
        <v>1078</v>
      </c>
      <c r="F2" s="219"/>
    </row>
    <row r="3" spans="1:6" x14ac:dyDescent="0.2">
      <c r="A3" s="214" t="s">
        <v>598</v>
      </c>
      <c r="B3" s="220">
        <f>'Sources of Funds Worksheet'!D10</f>
        <v>0</v>
      </c>
      <c r="C3" s="214"/>
      <c r="D3" s="215" t="s">
        <v>596</v>
      </c>
      <c r="E3" s="215"/>
    </row>
    <row r="4" spans="1:6" x14ac:dyDescent="0.2">
      <c r="A4" s="214" t="s">
        <v>599</v>
      </c>
      <c r="B4" s="221">
        <f>'Sources of Funds Worksheet'!E10</f>
        <v>0</v>
      </c>
      <c r="C4" s="214"/>
      <c r="D4" s="215" t="s">
        <v>596</v>
      </c>
      <c r="E4" s="215"/>
    </row>
    <row r="5" spans="1:6" x14ac:dyDescent="0.2">
      <c r="A5" s="214" t="s">
        <v>600</v>
      </c>
      <c r="B5" s="222">
        <f>'Sources of Funds Worksheet'!U10</f>
        <v>0</v>
      </c>
      <c r="C5" s="214"/>
      <c r="D5" s="215" t="s">
        <v>596</v>
      </c>
      <c r="E5" s="216" t="s">
        <v>1086</v>
      </c>
    </row>
    <row r="6" spans="1:6" x14ac:dyDescent="0.2">
      <c r="A6" s="214" t="s">
        <v>601</v>
      </c>
      <c r="B6" s="223" t="str">
        <f>'Sources of Funds Worksheet'!T10</f>
        <v>N</v>
      </c>
      <c r="C6" s="214"/>
      <c r="D6" s="215" t="s">
        <v>596</v>
      </c>
      <c r="E6" s="216"/>
    </row>
    <row r="7" spans="1:6" x14ac:dyDescent="0.2">
      <c r="A7" s="224" t="s">
        <v>602</v>
      </c>
      <c r="B7" s="225" t="s">
        <v>596</v>
      </c>
      <c r="C7" s="226"/>
      <c r="D7" s="215" t="s">
        <v>596</v>
      </c>
      <c r="E7" s="215" t="s">
        <v>1077</v>
      </c>
      <c r="F7" s="227"/>
    </row>
    <row r="8" spans="1:6" x14ac:dyDescent="0.2">
      <c r="A8" s="224" t="s">
        <v>603</v>
      </c>
      <c r="B8" s="228">
        <f>'Sources of Funds Worksheet'!V10</f>
        <v>0</v>
      </c>
      <c r="C8" s="226"/>
      <c r="D8" s="215" t="s">
        <v>596</v>
      </c>
      <c r="E8" s="216" t="s">
        <v>1085</v>
      </c>
    </row>
    <row r="9" spans="1:6" x14ac:dyDescent="0.2">
      <c r="A9" s="224" t="s">
        <v>604</v>
      </c>
      <c r="B9" s="229" t="str">
        <f>'Sources of Funds Worksheet'!K10</f>
        <v/>
      </c>
      <c r="C9" s="226"/>
      <c r="D9" s="215" t="s">
        <v>596</v>
      </c>
      <c r="E9" s="215"/>
    </row>
    <row r="10" spans="1:6" x14ac:dyDescent="0.2">
      <c r="A10" s="224" t="s">
        <v>605</v>
      </c>
      <c r="B10" s="230" t="str">
        <f>'Sources of Funds Worksheet'!P10</f>
        <v/>
      </c>
      <c r="C10" s="226"/>
      <c r="D10" s="215" t="s">
        <v>596</v>
      </c>
      <c r="E10" s="215"/>
    </row>
    <row r="11" spans="1:6" x14ac:dyDescent="0.2">
      <c r="A11" s="224" t="s">
        <v>1049</v>
      </c>
      <c r="B11" s="226">
        <v>1</v>
      </c>
      <c r="C11" s="226"/>
      <c r="D11" s="215"/>
      <c r="E11" s="215"/>
      <c r="F11" s="231" t="s">
        <v>1178</v>
      </c>
    </row>
    <row r="12" spans="1:6" x14ac:dyDescent="0.2">
      <c r="A12" s="214" t="s">
        <v>606</v>
      </c>
      <c r="B12" s="232" t="str">
        <f>'Sources of Funds Worksheet'!A8</f>
        <v>LIHTC</v>
      </c>
      <c r="C12" s="214"/>
      <c r="D12" s="215" t="s">
        <v>596</v>
      </c>
      <c r="E12" s="215"/>
    </row>
    <row r="13" spans="1:6" x14ac:dyDescent="0.2">
      <c r="A13" s="214" t="s">
        <v>607</v>
      </c>
      <c r="B13" s="218">
        <f>'Sources of Funds Worksheet'!S8</f>
        <v>4</v>
      </c>
      <c r="C13" s="214"/>
      <c r="D13" s="215" t="s">
        <v>596</v>
      </c>
      <c r="E13" s="215" t="s">
        <v>1078</v>
      </c>
      <c r="F13" s="219"/>
    </row>
    <row r="14" spans="1:6" x14ac:dyDescent="0.2">
      <c r="A14" s="214" t="s">
        <v>608</v>
      </c>
      <c r="B14" s="220">
        <f>'Sources of Funds Worksheet'!D8</f>
        <v>0</v>
      </c>
      <c r="C14" s="214"/>
      <c r="D14" s="215" t="s">
        <v>596</v>
      </c>
      <c r="E14" s="215"/>
    </row>
    <row r="15" spans="1:6" x14ac:dyDescent="0.2">
      <c r="A15" s="214" t="s">
        <v>609</v>
      </c>
      <c r="B15" s="221">
        <f>'Sources of Funds Worksheet'!E8</f>
        <v>0</v>
      </c>
      <c r="C15" s="214"/>
      <c r="D15" s="215" t="s">
        <v>596</v>
      </c>
      <c r="E15" s="215"/>
    </row>
    <row r="16" spans="1:6" x14ac:dyDescent="0.2">
      <c r="A16" s="214" t="s">
        <v>610</v>
      </c>
      <c r="B16" s="222">
        <f>'Sources of Funds Worksheet'!U8</f>
        <v>0</v>
      </c>
      <c r="C16" s="214"/>
      <c r="D16" s="215" t="s">
        <v>596</v>
      </c>
      <c r="E16" s="215"/>
    </row>
    <row r="17" spans="1:6" x14ac:dyDescent="0.2">
      <c r="A17" s="214" t="s">
        <v>611</v>
      </c>
      <c r="B17" s="232" t="str">
        <f>'Sources of Funds Worksheet'!T8</f>
        <v>N</v>
      </c>
      <c r="C17" s="214"/>
      <c r="D17" s="215" t="s">
        <v>596</v>
      </c>
      <c r="E17" s="216"/>
    </row>
    <row r="18" spans="1:6" x14ac:dyDescent="0.2">
      <c r="A18" s="224" t="s">
        <v>612</v>
      </c>
      <c r="B18" s="225" t="s">
        <v>596</v>
      </c>
      <c r="C18" s="226"/>
      <c r="D18" s="215" t="s">
        <v>596</v>
      </c>
      <c r="E18" s="215" t="s">
        <v>1077</v>
      </c>
      <c r="F18" s="227"/>
    </row>
    <row r="19" spans="1:6" x14ac:dyDescent="0.2">
      <c r="A19" s="224" t="s">
        <v>613</v>
      </c>
      <c r="B19" s="233">
        <f>'Sources of Funds Worksheet'!V8</f>
        <v>0</v>
      </c>
      <c r="C19" s="226"/>
      <c r="D19" s="215" t="s">
        <v>596</v>
      </c>
      <c r="E19" s="215"/>
    </row>
    <row r="20" spans="1:6" x14ac:dyDescent="0.2">
      <c r="A20" s="224" t="s">
        <v>614</v>
      </c>
      <c r="B20" s="229" t="str">
        <f>'Sources of Funds Worksheet'!K8</f>
        <v/>
      </c>
      <c r="C20" s="226"/>
      <c r="D20" s="215" t="s">
        <v>596</v>
      </c>
      <c r="E20" s="215"/>
    </row>
    <row r="21" spans="1:6" x14ac:dyDescent="0.2">
      <c r="A21" s="224" t="s">
        <v>615</v>
      </c>
      <c r="B21" s="234" t="str">
        <f>'Sources of Funds Worksheet'!P8</f>
        <v/>
      </c>
      <c r="C21" s="226"/>
      <c r="D21" s="215" t="s">
        <v>596</v>
      </c>
      <c r="E21" s="215"/>
    </row>
    <row r="22" spans="1:6" x14ac:dyDescent="0.2">
      <c r="A22" s="224" t="s">
        <v>1050</v>
      </c>
      <c r="B22" s="234">
        <v>2</v>
      </c>
      <c r="C22" s="226"/>
      <c r="D22" s="215"/>
      <c r="E22" s="215"/>
      <c r="F22" s="231" t="s">
        <v>1178</v>
      </c>
    </row>
    <row r="23" spans="1:6" x14ac:dyDescent="0.2">
      <c r="A23" s="214" t="s">
        <v>616</v>
      </c>
      <c r="B23" s="214" t="str">
        <f>'Sources of Funds Worksheet'!A7</f>
        <v>Permanent Loan*</v>
      </c>
      <c r="C23" s="214"/>
      <c r="D23" s="215" t="s">
        <v>596</v>
      </c>
      <c r="E23" s="215"/>
    </row>
    <row r="24" spans="1:6" x14ac:dyDescent="0.2">
      <c r="A24" s="214" t="s">
        <v>617</v>
      </c>
      <c r="B24" s="218">
        <f>'Sources of Funds Worksheet'!S7</f>
        <v>2</v>
      </c>
      <c r="C24" s="214"/>
      <c r="D24" s="215" t="s">
        <v>596</v>
      </c>
      <c r="E24" s="215" t="s">
        <v>1078</v>
      </c>
      <c r="F24" s="219"/>
    </row>
    <row r="25" spans="1:6" x14ac:dyDescent="0.2">
      <c r="A25" s="214" t="s">
        <v>618</v>
      </c>
      <c r="B25" s="220">
        <f>'Sources of Funds Worksheet'!D7</f>
        <v>0</v>
      </c>
      <c r="C25" s="214"/>
      <c r="D25" s="215" t="s">
        <v>596</v>
      </c>
      <c r="E25" s="215"/>
    </row>
    <row r="26" spans="1:6" x14ac:dyDescent="0.2">
      <c r="A26" s="214" t="s">
        <v>619</v>
      </c>
      <c r="B26" s="221">
        <f>'Sources of Funds Worksheet'!E7</f>
        <v>0</v>
      </c>
      <c r="C26" s="214"/>
      <c r="D26" s="215" t="s">
        <v>596</v>
      </c>
      <c r="E26" s="215"/>
    </row>
    <row r="27" spans="1:6" x14ac:dyDescent="0.2">
      <c r="A27" s="214" t="s">
        <v>620</v>
      </c>
      <c r="B27" s="235">
        <f>'Sources of Funds Worksheet'!U7</f>
        <v>0</v>
      </c>
      <c r="C27" s="214"/>
      <c r="D27" s="215" t="s">
        <v>596</v>
      </c>
      <c r="E27" s="215"/>
    </row>
    <row r="28" spans="1:6" x14ac:dyDescent="0.2">
      <c r="A28" s="214" t="s">
        <v>621</v>
      </c>
      <c r="B28" s="232" t="str">
        <f>'Sources of Funds Worksheet'!T7</f>
        <v>N</v>
      </c>
      <c r="C28" s="214"/>
      <c r="D28" s="215" t="s">
        <v>596</v>
      </c>
      <c r="E28" s="215"/>
    </row>
    <row r="29" spans="1:6" x14ac:dyDescent="0.2">
      <c r="A29" s="224" t="s">
        <v>622</v>
      </c>
      <c r="B29" s="225" t="s">
        <v>596</v>
      </c>
      <c r="C29" s="226"/>
      <c r="D29" s="215" t="s">
        <v>596</v>
      </c>
      <c r="E29" s="215" t="s">
        <v>1077</v>
      </c>
      <c r="F29" s="227"/>
    </row>
    <row r="30" spans="1:6" x14ac:dyDescent="0.2">
      <c r="A30" s="224" t="s">
        <v>623</v>
      </c>
      <c r="B30" s="228">
        <f>'Sources of Funds Worksheet'!V7</f>
        <v>0</v>
      </c>
      <c r="C30" s="226"/>
      <c r="D30" s="215" t="s">
        <v>596</v>
      </c>
      <c r="E30" s="215"/>
    </row>
    <row r="31" spans="1:6" x14ac:dyDescent="0.2">
      <c r="A31" s="224" t="s">
        <v>624</v>
      </c>
      <c r="B31" s="229" t="str">
        <f>'Sources of Funds Worksheet'!K7</f>
        <v/>
      </c>
      <c r="C31" s="226"/>
      <c r="D31" s="215" t="s">
        <v>596</v>
      </c>
      <c r="E31" s="215"/>
    </row>
    <row r="32" spans="1:6" x14ac:dyDescent="0.2">
      <c r="A32" s="224" t="s">
        <v>625</v>
      </c>
      <c r="B32" s="230" t="str">
        <f>'Sources of Funds Worksheet'!P7</f>
        <v/>
      </c>
      <c r="C32" s="226"/>
      <c r="D32" s="215" t="s">
        <v>596</v>
      </c>
      <c r="E32" s="215"/>
    </row>
    <row r="33" spans="1:6" x14ac:dyDescent="0.2">
      <c r="A33" s="224" t="s">
        <v>1051</v>
      </c>
      <c r="B33" s="230">
        <v>3</v>
      </c>
      <c r="C33" s="226"/>
      <c r="D33" s="215"/>
      <c r="E33" s="215"/>
      <c r="F33" s="231" t="s">
        <v>1178</v>
      </c>
    </row>
    <row r="34" spans="1:6" x14ac:dyDescent="0.2">
      <c r="A34" s="214" t="s">
        <v>626</v>
      </c>
      <c r="B34" s="214" t="str">
        <f>'Sources of Funds Worksheet'!A11</f>
        <v>HOME</v>
      </c>
      <c r="C34" s="214"/>
      <c r="D34" s="215" t="s">
        <v>596</v>
      </c>
      <c r="E34" s="215"/>
    </row>
    <row r="35" spans="1:6" x14ac:dyDescent="0.2">
      <c r="A35" s="214" t="s">
        <v>627</v>
      </c>
      <c r="B35" s="218">
        <f>'Sources of Funds Worksheet'!S11</f>
        <v>8</v>
      </c>
      <c r="C35" s="214"/>
      <c r="D35" s="215" t="s">
        <v>596</v>
      </c>
      <c r="E35" s="215" t="s">
        <v>1078</v>
      </c>
      <c r="F35" s="219"/>
    </row>
    <row r="36" spans="1:6" x14ac:dyDescent="0.2">
      <c r="A36" s="214" t="s">
        <v>628</v>
      </c>
      <c r="B36" s="220">
        <f>'Sources of Funds Worksheet'!D11</f>
        <v>0</v>
      </c>
      <c r="C36" s="214"/>
      <c r="D36" s="215" t="s">
        <v>596</v>
      </c>
      <c r="E36" s="215"/>
    </row>
    <row r="37" spans="1:6" x14ac:dyDescent="0.2">
      <c r="A37" s="214" t="s">
        <v>629</v>
      </c>
      <c r="B37" s="221">
        <f>'Sources of Funds Worksheet'!E11</f>
        <v>0</v>
      </c>
      <c r="C37" s="214"/>
      <c r="D37" s="215" t="s">
        <v>596</v>
      </c>
      <c r="E37" s="215"/>
    </row>
    <row r="38" spans="1:6" x14ac:dyDescent="0.2">
      <c r="A38" s="214" t="s">
        <v>630</v>
      </c>
      <c r="B38" s="235">
        <f>'Sources of Funds Worksheet'!U11</f>
        <v>0</v>
      </c>
      <c r="C38" s="214"/>
      <c r="D38" s="215" t="s">
        <v>596</v>
      </c>
      <c r="E38" s="215"/>
    </row>
    <row r="39" spans="1:6" x14ac:dyDescent="0.2">
      <c r="A39" s="214" t="s">
        <v>631</v>
      </c>
      <c r="B39" s="232" t="str">
        <f>'Sources of Funds Worksheet'!T11</f>
        <v>N</v>
      </c>
      <c r="C39" s="214"/>
      <c r="D39" s="215" t="s">
        <v>596</v>
      </c>
      <c r="E39" s="215"/>
    </row>
    <row r="40" spans="1:6" x14ac:dyDescent="0.2">
      <c r="A40" s="224" t="s">
        <v>632</v>
      </c>
      <c r="B40" s="225" t="s">
        <v>596</v>
      </c>
      <c r="C40" s="226"/>
      <c r="D40" s="215" t="s">
        <v>596</v>
      </c>
      <c r="E40" s="215" t="s">
        <v>1077</v>
      </c>
      <c r="F40" s="227"/>
    </row>
    <row r="41" spans="1:6" x14ac:dyDescent="0.2">
      <c r="A41" s="224" t="s">
        <v>633</v>
      </c>
      <c r="B41" s="228">
        <f>'Sources of Funds Worksheet'!V11</f>
        <v>0</v>
      </c>
      <c r="C41" s="226"/>
      <c r="D41" s="215" t="s">
        <v>596</v>
      </c>
      <c r="E41" s="215"/>
    </row>
    <row r="42" spans="1:6" x14ac:dyDescent="0.2">
      <c r="A42" s="224" t="s">
        <v>634</v>
      </c>
      <c r="B42" s="229" t="str">
        <f>'Sources of Funds Worksheet'!K10</f>
        <v/>
      </c>
      <c r="C42" s="226"/>
      <c r="D42" s="215" t="s">
        <v>596</v>
      </c>
      <c r="E42" s="215"/>
    </row>
    <row r="43" spans="1:6" x14ac:dyDescent="0.2">
      <c r="A43" s="224" t="s">
        <v>635</v>
      </c>
      <c r="B43" s="234" t="str">
        <f>'Sources of Funds Worksheet'!P11</f>
        <v/>
      </c>
      <c r="C43" s="226"/>
      <c r="D43" s="215" t="s">
        <v>596</v>
      </c>
      <c r="E43" s="215"/>
    </row>
    <row r="44" spans="1:6" x14ac:dyDescent="0.2">
      <c r="A44" s="224" t="s">
        <v>1052</v>
      </c>
      <c r="B44" s="234">
        <v>4</v>
      </c>
      <c r="C44" s="226"/>
      <c r="D44" s="215"/>
      <c r="E44" s="215"/>
      <c r="F44" s="231" t="s">
        <v>1178</v>
      </c>
    </row>
    <row r="45" spans="1:6" x14ac:dyDescent="0.2">
      <c r="A45" s="214" t="s">
        <v>636</v>
      </c>
      <c r="B45" s="236">
        <f>'Sources of Funds Worksheet'!A12</f>
        <v>0</v>
      </c>
      <c r="C45" s="214"/>
      <c r="D45" s="215" t="s">
        <v>596</v>
      </c>
      <c r="E45" s="215"/>
    </row>
    <row r="46" spans="1:6" x14ac:dyDescent="0.2">
      <c r="A46" s="214" t="s">
        <v>637</v>
      </c>
      <c r="B46" s="218" t="str">
        <f>'Sources of Funds Worksheet'!S12</f>
        <v>NA</v>
      </c>
      <c r="C46" s="214"/>
      <c r="D46" s="215" t="s">
        <v>596</v>
      </c>
      <c r="E46" s="215" t="s">
        <v>1078</v>
      </c>
    </row>
    <row r="47" spans="1:6" x14ac:dyDescent="0.2">
      <c r="A47" s="214" t="s">
        <v>638</v>
      </c>
      <c r="B47" s="220">
        <f>'Sources of Funds Worksheet'!D12</f>
        <v>0</v>
      </c>
      <c r="C47" s="214"/>
      <c r="D47" s="215" t="s">
        <v>596</v>
      </c>
      <c r="E47" s="215"/>
    </row>
    <row r="48" spans="1:6" x14ac:dyDescent="0.2">
      <c r="A48" s="214" t="s">
        <v>639</v>
      </c>
      <c r="B48" s="221">
        <f>'Sources of Funds Worksheet'!E12</f>
        <v>0</v>
      </c>
      <c r="C48" s="214"/>
      <c r="D48" s="215" t="s">
        <v>596</v>
      </c>
      <c r="E48" s="215"/>
    </row>
    <row r="49" spans="1:6" x14ac:dyDescent="0.2">
      <c r="A49" s="214" t="s">
        <v>640</v>
      </c>
      <c r="B49" s="222">
        <f>'Sources of Funds Worksheet'!U12</f>
        <v>0</v>
      </c>
      <c r="C49" s="214"/>
      <c r="D49" s="215" t="s">
        <v>596</v>
      </c>
      <c r="E49" s="215"/>
    </row>
    <row r="50" spans="1:6" x14ac:dyDescent="0.2">
      <c r="A50" s="214" t="s">
        <v>641</v>
      </c>
      <c r="B50" s="232" t="str">
        <f>'Sources of Funds Worksheet'!T12</f>
        <v>N</v>
      </c>
      <c r="C50" s="214"/>
      <c r="D50" s="215" t="s">
        <v>596</v>
      </c>
      <c r="E50" s="215"/>
    </row>
    <row r="51" spans="1:6" x14ac:dyDescent="0.2">
      <c r="A51" s="224" t="s">
        <v>642</v>
      </c>
      <c r="B51" s="225" t="s">
        <v>596</v>
      </c>
      <c r="C51" s="226"/>
      <c r="D51" s="215" t="s">
        <v>596</v>
      </c>
      <c r="E51" s="215" t="s">
        <v>1077</v>
      </c>
      <c r="F51" s="227"/>
    </row>
    <row r="52" spans="1:6" x14ac:dyDescent="0.2">
      <c r="A52" s="224" t="s">
        <v>643</v>
      </c>
      <c r="B52" s="228">
        <f>'Sources of Funds Worksheet'!V12</f>
        <v>0</v>
      </c>
      <c r="C52" s="226"/>
      <c r="D52" s="215" t="s">
        <v>596</v>
      </c>
      <c r="E52" s="215"/>
    </row>
    <row r="53" spans="1:6" x14ac:dyDescent="0.2">
      <c r="A53" s="224" t="s">
        <v>644</v>
      </c>
      <c r="B53" s="229" t="str">
        <f>'Sources of Funds Worksheet'!K12</f>
        <v/>
      </c>
      <c r="C53" s="226"/>
      <c r="D53" s="215" t="s">
        <v>596</v>
      </c>
      <c r="E53" s="215"/>
    </row>
    <row r="54" spans="1:6" x14ac:dyDescent="0.2">
      <c r="A54" s="224" t="s">
        <v>645</v>
      </c>
      <c r="B54" s="230" t="str">
        <f>'Sources of Funds Worksheet'!P12</f>
        <v/>
      </c>
      <c r="C54" s="226"/>
      <c r="D54" s="215" t="s">
        <v>596</v>
      </c>
      <c r="E54" s="215"/>
    </row>
    <row r="55" spans="1:6" x14ac:dyDescent="0.2">
      <c r="A55" s="224" t="s">
        <v>1053</v>
      </c>
      <c r="B55" s="230">
        <v>5</v>
      </c>
      <c r="C55" s="226"/>
      <c r="D55" s="215"/>
      <c r="E55" s="215"/>
      <c r="F55" s="231" t="s">
        <v>1178</v>
      </c>
    </row>
    <row r="56" spans="1:6" x14ac:dyDescent="0.2">
      <c r="A56" s="214" t="s">
        <v>646</v>
      </c>
      <c r="B56" s="232" t="str">
        <f>'Sources of Funds Worksheet'!A9</f>
        <v xml:space="preserve">Owner Equity </v>
      </c>
      <c r="C56" s="214"/>
      <c r="D56" s="215" t="s">
        <v>596</v>
      </c>
      <c r="E56" s="215"/>
    </row>
    <row r="57" spans="1:6" x14ac:dyDescent="0.2">
      <c r="A57" s="214" t="s">
        <v>647</v>
      </c>
      <c r="B57" s="218">
        <f>'Sources of Funds Worksheet'!S9</f>
        <v>18</v>
      </c>
      <c r="C57" s="214"/>
      <c r="D57" s="215" t="s">
        <v>596</v>
      </c>
      <c r="E57" s="215"/>
      <c r="F57" s="219"/>
    </row>
    <row r="58" spans="1:6" x14ac:dyDescent="0.2">
      <c r="A58" s="214" t="s">
        <v>648</v>
      </c>
      <c r="B58" s="220">
        <f>'Sources of Funds Worksheet'!D9</f>
        <v>0</v>
      </c>
      <c r="C58" s="214"/>
      <c r="D58" s="215" t="s">
        <v>596</v>
      </c>
      <c r="E58" s="215"/>
    </row>
    <row r="59" spans="1:6" x14ac:dyDescent="0.2">
      <c r="A59" s="214" t="s">
        <v>649</v>
      </c>
      <c r="B59" s="221">
        <f>'Sources of Funds Worksheet'!E9</f>
        <v>0</v>
      </c>
      <c r="C59" s="214"/>
      <c r="D59" s="215" t="s">
        <v>596</v>
      </c>
      <c r="E59" s="215"/>
    </row>
    <row r="60" spans="1:6" x14ac:dyDescent="0.2">
      <c r="A60" s="214" t="s">
        <v>650</v>
      </c>
      <c r="B60" s="222">
        <f>'Sources of Funds Worksheet'!U9</f>
        <v>0</v>
      </c>
      <c r="C60" s="214"/>
      <c r="D60" s="215" t="s">
        <v>596</v>
      </c>
      <c r="E60" s="215"/>
    </row>
    <row r="61" spans="1:6" x14ac:dyDescent="0.2">
      <c r="A61" s="214" t="s">
        <v>651</v>
      </c>
      <c r="B61" s="232" t="str">
        <f>'Sources of Funds Worksheet'!T9</f>
        <v>N</v>
      </c>
      <c r="C61" s="214"/>
      <c r="D61" s="215" t="s">
        <v>596</v>
      </c>
      <c r="E61" s="215"/>
      <c r="F61" s="227"/>
    </row>
    <row r="62" spans="1:6" x14ac:dyDescent="0.2">
      <c r="A62" s="224" t="s">
        <v>652</v>
      </c>
      <c r="B62" s="225" t="s">
        <v>596</v>
      </c>
      <c r="C62" s="226"/>
      <c r="D62" s="215" t="s">
        <v>596</v>
      </c>
      <c r="E62" s="215"/>
    </row>
    <row r="63" spans="1:6" x14ac:dyDescent="0.2">
      <c r="A63" s="224" t="s">
        <v>653</v>
      </c>
      <c r="B63" s="228">
        <f>'Sources of Funds Worksheet'!V9</f>
        <v>0</v>
      </c>
      <c r="C63" s="226"/>
      <c r="D63" s="215" t="s">
        <v>596</v>
      </c>
      <c r="E63" s="215"/>
    </row>
    <row r="64" spans="1:6" x14ac:dyDescent="0.2">
      <c r="A64" s="224" t="s">
        <v>654</v>
      </c>
      <c r="B64" s="229" t="str">
        <f>'Sources of Funds Worksheet'!K9</f>
        <v/>
      </c>
      <c r="C64" s="226"/>
      <c r="D64" s="215" t="s">
        <v>596</v>
      </c>
      <c r="E64" s="215"/>
    </row>
    <row r="65" spans="1:6" x14ac:dyDescent="0.2">
      <c r="A65" s="224" t="s">
        <v>655</v>
      </c>
      <c r="B65" s="234" t="str">
        <f>'Sources of Funds Worksheet'!P9</f>
        <v/>
      </c>
      <c r="C65" s="226"/>
      <c r="D65" s="215" t="s">
        <v>596</v>
      </c>
      <c r="E65" s="215"/>
    </row>
    <row r="66" spans="1:6" x14ac:dyDescent="0.2">
      <c r="A66" s="224" t="s">
        <v>1054</v>
      </c>
      <c r="B66" s="234">
        <v>6</v>
      </c>
      <c r="C66" s="226"/>
      <c r="D66" s="215"/>
      <c r="E66" s="215"/>
      <c r="F66" s="231" t="s">
        <v>1178</v>
      </c>
    </row>
    <row r="67" spans="1:6" x14ac:dyDescent="0.2">
      <c r="A67" s="214" t="s">
        <v>656</v>
      </c>
      <c r="B67" s="214">
        <f>'Sources of Funds Worksheet'!A13</f>
        <v>0</v>
      </c>
      <c r="C67" s="214"/>
      <c r="D67" s="215" t="s">
        <v>596</v>
      </c>
      <c r="E67" s="215"/>
    </row>
    <row r="68" spans="1:6" x14ac:dyDescent="0.2">
      <c r="A68" s="214" t="s">
        <v>657</v>
      </c>
      <c r="B68" s="218" t="str">
        <f>'Sources of Funds Worksheet'!S13</f>
        <v>NA</v>
      </c>
      <c r="C68" s="214"/>
      <c r="D68" s="215" t="s">
        <v>596</v>
      </c>
      <c r="E68" s="215"/>
      <c r="F68" s="219"/>
    </row>
    <row r="69" spans="1:6" x14ac:dyDescent="0.2">
      <c r="A69" s="214" t="s">
        <v>658</v>
      </c>
      <c r="B69" s="220">
        <f>'Sources of Funds Worksheet'!D13</f>
        <v>0</v>
      </c>
      <c r="C69" s="214"/>
      <c r="D69" s="215" t="s">
        <v>596</v>
      </c>
      <c r="E69" s="215"/>
    </row>
    <row r="70" spans="1:6" x14ac:dyDescent="0.2">
      <c r="A70" s="214" t="s">
        <v>659</v>
      </c>
      <c r="B70" s="221">
        <f>'Sources of Funds Worksheet'!E13</f>
        <v>0</v>
      </c>
      <c r="C70" s="214"/>
      <c r="D70" s="215" t="s">
        <v>596</v>
      </c>
      <c r="E70" s="215"/>
    </row>
    <row r="71" spans="1:6" x14ac:dyDescent="0.2">
      <c r="A71" s="214" t="s">
        <v>660</v>
      </c>
      <c r="B71" s="222">
        <f>'Sources of Funds Worksheet'!U13</f>
        <v>0</v>
      </c>
      <c r="C71" s="214"/>
      <c r="D71" s="215" t="s">
        <v>596</v>
      </c>
      <c r="E71" s="215"/>
    </row>
    <row r="72" spans="1:6" x14ac:dyDescent="0.2">
      <c r="A72" s="214" t="s">
        <v>661</v>
      </c>
      <c r="B72" s="232" t="str">
        <f>'Sources of Funds Worksheet'!T13</f>
        <v>N</v>
      </c>
      <c r="C72" s="214"/>
      <c r="D72" s="215" t="s">
        <v>596</v>
      </c>
      <c r="E72" s="215"/>
      <c r="F72" s="227"/>
    </row>
    <row r="73" spans="1:6" x14ac:dyDescent="0.2">
      <c r="A73" s="224" t="s">
        <v>662</v>
      </c>
      <c r="B73" s="225" t="s">
        <v>596</v>
      </c>
      <c r="C73" s="226"/>
      <c r="D73" s="215" t="s">
        <v>596</v>
      </c>
      <c r="E73" s="215"/>
    </row>
    <row r="74" spans="1:6" x14ac:dyDescent="0.2">
      <c r="A74" s="224" t="s">
        <v>663</v>
      </c>
      <c r="B74" s="228">
        <f>'Sources of Funds Worksheet'!V13</f>
        <v>0</v>
      </c>
      <c r="C74" s="226"/>
      <c r="D74" s="215" t="s">
        <v>596</v>
      </c>
      <c r="E74" s="215"/>
    </row>
    <row r="75" spans="1:6" x14ac:dyDescent="0.2">
      <c r="A75" s="224" t="s">
        <v>664</v>
      </c>
      <c r="B75" s="229" t="str">
        <f>'Sources of Funds Worksheet'!K13</f>
        <v/>
      </c>
      <c r="C75" s="226"/>
      <c r="D75" s="215" t="s">
        <v>596</v>
      </c>
      <c r="E75" s="215"/>
    </row>
    <row r="76" spans="1:6" x14ac:dyDescent="0.2">
      <c r="A76" s="224" t="s">
        <v>665</v>
      </c>
      <c r="B76" s="234" t="str">
        <f>'Sources of Funds Worksheet'!P13</f>
        <v/>
      </c>
      <c r="C76" s="226"/>
      <c r="D76" s="215" t="s">
        <v>596</v>
      </c>
      <c r="E76" s="215"/>
    </row>
    <row r="77" spans="1:6" x14ac:dyDescent="0.2">
      <c r="A77" s="224" t="s">
        <v>1055</v>
      </c>
      <c r="B77" s="234">
        <v>7</v>
      </c>
      <c r="C77" s="226"/>
      <c r="D77" s="215"/>
      <c r="E77" s="215"/>
      <c r="F77" s="231" t="s">
        <v>1178</v>
      </c>
    </row>
    <row r="78" spans="1:6" x14ac:dyDescent="0.2">
      <c r="A78" s="214" t="s">
        <v>666</v>
      </c>
      <c r="B78" s="214">
        <f>'Sources of Funds Worksheet'!A14</f>
        <v>0</v>
      </c>
      <c r="C78" s="214"/>
      <c r="D78" s="215" t="s">
        <v>596</v>
      </c>
      <c r="E78" s="215"/>
    </row>
    <row r="79" spans="1:6" x14ac:dyDescent="0.2">
      <c r="A79" s="214" t="s">
        <v>667</v>
      </c>
      <c r="B79" s="218" t="str">
        <f>'Sources of Funds Worksheet'!S14</f>
        <v>NA</v>
      </c>
      <c r="C79" s="214"/>
      <c r="D79" s="215" t="s">
        <v>596</v>
      </c>
      <c r="E79" s="215"/>
      <c r="F79" s="219"/>
    </row>
    <row r="80" spans="1:6" x14ac:dyDescent="0.2">
      <c r="A80" s="214" t="s">
        <v>668</v>
      </c>
      <c r="B80" s="220">
        <f>'Sources of Funds Worksheet'!D14</f>
        <v>0</v>
      </c>
      <c r="C80" s="214"/>
      <c r="D80" s="215" t="s">
        <v>596</v>
      </c>
      <c r="E80" s="215"/>
    </row>
    <row r="81" spans="1:6" x14ac:dyDescent="0.2">
      <c r="A81" s="214" t="s">
        <v>669</v>
      </c>
      <c r="B81" s="221">
        <f>'Sources of Funds Worksheet'!E14</f>
        <v>0</v>
      </c>
      <c r="C81" s="214"/>
      <c r="D81" s="215" t="s">
        <v>596</v>
      </c>
      <c r="E81" s="215"/>
    </row>
    <row r="82" spans="1:6" x14ac:dyDescent="0.2">
      <c r="A82" s="214" t="s">
        <v>670</v>
      </c>
      <c r="B82" s="222">
        <f>'Sources of Funds Worksheet'!U14</f>
        <v>0</v>
      </c>
      <c r="C82" s="214"/>
      <c r="D82" s="215" t="s">
        <v>596</v>
      </c>
      <c r="E82" s="215"/>
    </row>
    <row r="83" spans="1:6" x14ac:dyDescent="0.2">
      <c r="A83" s="214" t="s">
        <v>671</v>
      </c>
      <c r="B83" s="237" t="str">
        <f>'Sources of Funds Worksheet'!T14</f>
        <v>N</v>
      </c>
      <c r="C83" s="214"/>
      <c r="D83" s="215" t="s">
        <v>596</v>
      </c>
      <c r="E83" s="215"/>
    </row>
    <row r="84" spans="1:6" x14ac:dyDescent="0.2">
      <c r="A84" s="224" t="s">
        <v>672</v>
      </c>
      <c r="B84" s="225" t="s">
        <v>596</v>
      </c>
      <c r="C84" s="226"/>
      <c r="D84" s="215" t="s">
        <v>596</v>
      </c>
      <c r="E84" s="215"/>
      <c r="F84" s="227"/>
    </row>
    <row r="85" spans="1:6" x14ac:dyDescent="0.2">
      <c r="A85" s="224" t="s">
        <v>673</v>
      </c>
      <c r="B85" s="228">
        <f>'Sources of Funds Worksheet'!V14</f>
        <v>0</v>
      </c>
      <c r="C85" s="226"/>
      <c r="D85" s="215" t="s">
        <v>596</v>
      </c>
      <c r="E85" s="215"/>
    </row>
    <row r="86" spans="1:6" x14ac:dyDescent="0.2">
      <c r="A86" s="224" t="s">
        <v>674</v>
      </c>
      <c r="B86" s="229" t="str">
        <f>'Sources of Funds Worksheet'!K14</f>
        <v/>
      </c>
      <c r="C86" s="226"/>
      <c r="D86" s="215" t="s">
        <v>596</v>
      </c>
      <c r="E86" s="215"/>
    </row>
    <row r="87" spans="1:6" x14ac:dyDescent="0.2">
      <c r="A87" s="224" t="s">
        <v>675</v>
      </c>
      <c r="B87" s="234" t="str">
        <f>'Sources of Funds Worksheet'!P14</f>
        <v/>
      </c>
      <c r="C87" s="226"/>
      <c r="D87" s="215" t="s">
        <v>596</v>
      </c>
      <c r="E87" s="215"/>
    </row>
    <row r="88" spans="1:6" x14ac:dyDescent="0.2">
      <c r="A88" s="224" t="s">
        <v>1056</v>
      </c>
      <c r="B88" s="234">
        <v>8</v>
      </c>
      <c r="C88" s="226"/>
      <c r="D88" s="215"/>
      <c r="E88" s="215"/>
      <c r="F88" s="231" t="s">
        <v>1178</v>
      </c>
    </row>
    <row r="89" spans="1:6" x14ac:dyDescent="0.2">
      <c r="A89" s="214" t="s">
        <v>676</v>
      </c>
      <c r="B89" s="214">
        <f>'Sources of Funds Worksheet'!A18</f>
        <v>0</v>
      </c>
      <c r="C89" s="214"/>
      <c r="D89" s="215" t="s">
        <v>596</v>
      </c>
      <c r="E89" s="215"/>
    </row>
    <row r="90" spans="1:6" x14ac:dyDescent="0.2">
      <c r="A90" s="214" t="s">
        <v>677</v>
      </c>
      <c r="B90" s="218" t="str">
        <f>'Sources of Funds Worksheet'!S18</f>
        <v>NA</v>
      </c>
      <c r="C90" s="214"/>
      <c r="D90" s="215" t="s">
        <v>596</v>
      </c>
      <c r="E90" s="215"/>
      <c r="F90" s="219"/>
    </row>
    <row r="91" spans="1:6" x14ac:dyDescent="0.2">
      <c r="A91" s="214" t="s">
        <v>678</v>
      </c>
      <c r="B91" s="220">
        <f>'Sources of Funds Worksheet'!D18</f>
        <v>0</v>
      </c>
      <c r="C91" s="214"/>
      <c r="D91" s="215" t="s">
        <v>596</v>
      </c>
      <c r="E91" s="215"/>
    </row>
    <row r="92" spans="1:6" x14ac:dyDescent="0.2">
      <c r="A92" s="214" t="s">
        <v>679</v>
      </c>
      <c r="B92" s="221">
        <f>'Sources of Funds Worksheet'!E18</f>
        <v>0</v>
      </c>
      <c r="C92" s="214"/>
      <c r="D92" s="215" t="s">
        <v>596</v>
      </c>
      <c r="E92" s="215"/>
    </row>
    <row r="93" spans="1:6" x14ac:dyDescent="0.2">
      <c r="A93" s="214" t="s">
        <v>680</v>
      </c>
      <c r="B93" s="222">
        <f>'Sources of Funds Worksheet'!U18</f>
        <v>0</v>
      </c>
      <c r="C93" s="214"/>
      <c r="D93" s="215" t="s">
        <v>596</v>
      </c>
      <c r="E93" s="215"/>
    </row>
    <row r="94" spans="1:6" x14ac:dyDescent="0.2">
      <c r="A94" s="214" t="s">
        <v>681</v>
      </c>
      <c r="B94" s="232" t="str">
        <f>'Sources of Funds Worksheet'!T18</f>
        <v>N</v>
      </c>
      <c r="C94" s="214"/>
      <c r="D94" s="215" t="s">
        <v>596</v>
      </c>
      <c r="E94" s="215"/>
    </row>
    <row r="95" spans="1:6" x14ac:dyDescent="0.2">
      <c r="A95" s="224" t="s">
        <v>682</v>
      </c>
      <c r="B95" s="225" t="s">
        <v>596</v>
      </c>
      <c r="C95" s="226"/>
      <c r="D95" s="215" t="s">
        <v>596</v>
      </c>
      <c r="E95" s="215"/>
      <c r="F95" s="227"/>
    </row>
    <row r="96" spans="1:6" x14ac:dyDescent="0.2">
      <c r="A96" s="224" t="s">
        <v>683</v>
      </c>
      <c r="B96" s="238">
        <f>'Sources of Funds Worksheet'!V18</f>
        <v>0</v>
      </c>
      <c r="C96" s="226"/>
      <c r="D96" s="215" t="s">
        <v>596</v>
      </c>
      <c r="E96" s="215"/>
    </row>
    <row r="97" spans="1:6" x14ac:dyDescent="0.2">
      <c r="A97" s="224" t="s">
        <v>684</v>
      </c>
      <c r="B97" s="229" t="str">
        <f>'Sources of Funds Worksheet'!K18</f>
        <v/>
      </c>
      <c r="C97" s="226"/>
      <c r="D97" s="215" t="s">
        <v>596</v>
      </c>
      <c r="E97" s="215"/>
    </row>
    <row r="98" spans="1:6" x14ac:dyDescent="0.2">
      <c r="A98" s="224" t="s">
        <v>685</v>
      </c>
      <c r="B98" s="234" t="str">
        <f>'Sources of Funds Worksheet'!P18</f>
        <v/>
      </c>
      <c r="C98" s="226"/>
      <c r="D98" s="215" t="s">
        <v>596</v>
      </c>
      <c r="E98" s="215"/>
    </row>
    <row r="99" spans="1:6" x14ac:dyDescent="0.2">
      <c r="A99" s="224" t="s">
        <v>1057</v>
      </c>
      <c r="B99" s="234">
        <v>9</v>
      </c>
      <c r="C99" s="226"/>
      <c r="D99" s="215"/>
      <c r="E99" s="215"/>
      <c r="F99" s="231"/>
    </row>
    <row r="100" spans="1:6" x14ac:dyDescent="0.2">
      <c r="A100" s="214" t="s">
        <v>686</v>
      </c>
      <c r="B100" s="214">
        <f>'Sources of Funds Worksheet'!A19</f>
        <v>0</v>
      </c>
      <c r="C100" s="214"/>
      <c r="D100" s="215" t="s">
        <v>596</v>
      </c>
      <c r="E100" s="215"/>
    </row>
    <row r="101" spans="1:6" x14ac:dyDescent="0.2">
      <c r="A101" s="214" t="s">
        <v>687</v>
      </c>
      <c r="B101" s="218" t="str">
        <f>'Sources of Funds Worksheet'!S19</f>
        <v>NA</v>
      </c>
      <c r="C101" s="214"/>
      <c r="D101" s="215" t="s">
        <v>596</v>
      </c>
      <c r="E101" s="215"/>
      <c r="F101" s="219"/>
    </row>
    <row r="102" spans="1:6" x14ac:dyDescent="0.2">
      <c r="A102" s="214" t="s">
        <v>688</v>
      </c>
      <c r="B102" s="220">
        <f>'Sources of Funds Worksheet'!D19</f>
        <v>0</v>
      </c>
      <c r="C102" s="214"/>
      <c r="D102" s="215" t="s">
        <v>596</v>
      </c>
      <c r="E102" s="215"/>
    </row>
    <row r="103" spans="1:6" x14ac:dyDescent="0.2">
      <c r="A103" s="214" t="s">
        <v>689</v>
      </c>
      <c r="B103" s="221">
        <f>'Sources of Funds Worksheet'!E19</f>
        <v>0</v>
      </c>
      <c r="C103" s="214"/>
      <c r="D103" s="215" t="s">
        <v>596</v>
      </c>
      <c r="E103" s="215"/>
    </row>
    <row r="104" spans="1:6" x14ac:dyDescent="0.2">
      <c r="A104" s="214" t="s">
        <v>690</v>
      </c>
      <c r="B104" s="222">
        <f>'Sources of Funds Worksheet'!U19</f>
        <v>0</v>
      </c>
      <c r="C104" s="214"/>
      <c r="D104" s="215" t="s">
        <v>596</v>
      </c>
      <c r="E104" s="215"/>
    </row>
    <row r="105" spans="1:6" x14ac:dyDescent="0.2">
      <c r="A105" s="214" t="s">
        <v>691</v>
      </c>
      <c r="B105" s="232" t="str">
        <f>'Sources of Funds Worksheet'!T19</f>
        <v>N</v>
      </c>
      <c r="C105" s="214"/>
      <c r="D105" s="215" t="s">
        <v>596</v>
      </c>
      <c r="E105" s="215"/>
    </row>
    <row r="106" spans="1:6" x14ac:dyDescent="0.2">
      <c r="A106" s="224" t="s">
        <v>692</v>
      </c>
      <c r="B106" s="225" t="s">
        <v>596</v>
      </c>
      <c r="C106" s="226"/>
      <c r="D106" s="215" t="s">
        <v>596</v>
      </c>
      <c r="E106" s="215"/>
      <c r="F106" s="227"/>
    </row>
    <row r="107" spans="1:6" x14ac:dyDescent="0.2">
      <c r="A107" s="224" t="s">
        <v>693</v>
      </c>
      <c r="B107" s="228">
        <f>'Sources of Funds Worksheet'!V19</f>
        <v>0</v>
      </c>
      <c r="C107" s="226"/>
      <c r="D107" s="215" t="s">
        <v>596</v>
      </c>
      <c r="E107" s="215"/>
    </row>
    <row r="108" spans="1:6" x14ac:dyDescent="0.2">
      <c r="A108" s="224" t="s">
        <v>694</v>
      </c>
      <c r="B108" s="229" t="str">
        <f>'Sources of Funds Worksheet'!K19</f>
        <v/>
      </c>
      <c r="C108" s="226"/>
      <c r="D108" s="215" t="s">
        <v>596</v>
      </c>
      <c r="E108" s="215"/>
    </row>
    <row r="109" spans="1:6" x14ac:dyDescent="0.2">
      <c r="A109" s="224" t="s">
        <v>695</v>
      </c>
      <c r="B109" s="230" t="str">
        <f>'Sources of Funds Worksheet'!P19</f>
        <v/>
      </c>
      <c r="C109" s="226"/>
      <c r="D109" s="215" t="s">
        <v>596</v>
      </c>
      <c r="E109" s="215"/>
    </row>
    <row r="110" spans="1:6" x14ac:dyDescent="0.2">
      <c r="A110" s="224" t="s">
        <v>1058</v>
      </c>
      <c r="B110" s="230">
        <v>10</v>
      </c>
      <c r="C110" s="226"/>
      <c r="D110" s="215"/>
      <c r="E110" s="215"/>
      <c r="F110" s="231"/>
    </row>
    <row r="111" spans="1:6" x14ac:dyDescent="0.2">
      <c r="A111" s="214" t="s">
        <v>696</v>
      </c>
      <c r="B111" s="214">
        <f>'Sources of Funds Worksheet'!A15</f>
        <v>0</v>
      </c>
      <c r="C111" s="214"/>
      <c r="D111" s="236" t="s">
        <v>596</v>
      </c>
      <c r="E111" s="215"/>
    </row>
    <row r="112" spans="1:6" x14ac:dyDescent="0.2">
      <c r="A112" s="214" t="s">
        <v>697</v>
      </c>
      <c r="B112" s="218" t="str">
        <f>'Sources of Funds Worksheet'!S15</f>
        <v>NA</v>
      </c>
      <c r="C112" s="214"/>
      <c r="D112" s="236" t="s">
        <v>596</v>
      </c>
      <c r="E112" s="215"/>
      <c r="F112" s="219"/>
    </row>
    <row r="113" spans="1:6" x14ac:dyDescent="0.2">
      <c r="A113" s="214" t="s">
        <v>698</v>
      </c>
      <c r="B113" s="220">
        <f>'Sources of Funds Worksheet'!D15</f>
        <v>0</v>
      </c>
      <c r="C113" s="214"/>
      <c r="D113" s="236" t="s">
        <v>596</v>
      </c>
      <c r="E113" s="215"/>
    </row>
    <row r="114" spans="1:6" x14ac:dyDescent="0.2">
      <c r="A114" s="214" t="s">
        <v>699</v>
      </c>
      <c r="B114" s="221">
        <f>'Sources of Funds Worksheet'!E15</f>
        <v>0</v>
      </c>
      <c r="C114" s="214"/>
      <c r="D114" s="236" t="s">
        <v>596</v>
      </c>
      <c r="E114" s="215"/>
    </row>
    <row r="115" spans="1:6" x14ac:dyDescent="0.2">
      <c r="A115" s="214" t="s">
        <v>700</v>
      </c>
      <c r="B115" s="222">
        <f>'Sources of Funds Worksheet'!U15</f>
        <v>0</v>
      </c>
      <c r="C115" s="214"/>
      <c r="D115" s="236" t="s">
        <v>596</v>
      </c>
      <c r="E115" s="215"/>
    </row>
    <row r="116" spans="1:6" x14ac:dyDescent="0.2">
      <c r="A116" s="214" t="s">
        <v>701</v>
      </c>
      <c r="B116" s="232" t="str">
        <f>'Sources of Funds Worksheet'!T15</f>
        <v>N</v>
      </c>
      <c r="C116" s="214"/>
      <c r="D116" s="236" t="s">
        <v>596</v>
      </c>
      <c r="E116" s="215"/>
    </row>
    <row r="117" spans="1:6" x14ac:dyDescent="0.2">
      <c r="A117" s="224" t="s">
        <v>702</v>
      </c>
      <c r="B117" s="225" t="s">
        <v>596</v>
      </c>
      <c r="C117" s="226"/>
      <c r="D117" s="236" t="s">
        <v>596</v>
      </c>
      <c r="E117" s="215"/>
      <c r="F117" s="227"/>
    </row>
    <row r="118" spans="1:6" x14ac:dyDescent="0.2">
      <c r="A118" s="224" t="s">
        <v>703</v>
      </c>
      <c r="B118" s="238">
        <f>'Sources of Funds Worksheet'!V15</f>
        <v>0</v>
      </c>
      <c r="C118" s="226"/>
      <c r="D118" s="236" t="s">
        <v>596</v>
      </c>
      <c r="E118" s="215"/>
    </row>
    <row r="119" spans="1:6" x14ac:dyDescent="0.2">
      <c r="A119" s="224" t="s">
        <v>704</v>
      </c>
      <c r="B119" s="229" t="str">
        <f>'Sources of Funds Worksheet'!K15</f>
        <v/>
      </c>
      <c r="C119" s="226"/>
      <c r="D119" s="236" t="s">
        <v>596</v>
      </c>
      <c r="E119" s="215"/>
    </row>
    <row r="120" spans="1:6" x14ac:dyDescent="0.2">
      <c r="A120" s="224" t="s">
        <v>705</v>
      </c>
      <c r="B120" s="234" t="str">
        <f>'Sources of Funds Worksheet'!P15</f>
        <v/>
      </c>
      <c r="C120" s="226"/>
      <c r="D120" s="236" t="s">
        <v>596</v>
      </c>
      <c r="E120" s="215"/>
    </row>
    <row r="121" spans="1:6" x14ac:dyDescent="0.2">
      <c r="A121" s="224" t="s">
        <v>1059</v>
      </c>
      <c r="B121" s="234">
        <v>11</v>
      </c>
      <c r="C121" s="226"/>
      <c r="D121" s="236"/>
      <c r="E121" s="215"/>
      <c r="F121" s="231"/>
    </row>
    <row r="122" spans="1:6" x14ac:dyDescent="0.2">
      <c r="A122" s="214" t="s">
        <v>706</v>
      </c>
      <c r="B122" s="214">
        <f>'Sources of Funds Worksheet'!A16</f>
        <v>0</v>
      </c>
      <c r="C122" s="214"/>
      <c r="D122" s="236" t="s">
        <v>596</v>
      </c>
      <c r="E122" s="215"/>
    </row>
    <row r="123" spans="1:6" x14ac:dyDescent="0.2">
      <c r="A123" s="214" t="s">
        <v>707</v>
      </c>
      <c r="B123" s="218" t="str">
        <f>'Sources of Funds Worksheet'!S16</f>
        <v>NA</v>
      </c>
      <c r="C123" s="214"/>
      <c r="D123" s="236" t="s">
        <v>596</v>
      </c>
      <c r="E123" s="215"/>
      <c r="F123" s="219"/>
    </row>
    <row r="124" spans="1:6" x14ac:dyDescent="0.2">
      <c r="A124" s="214" t="s">
        <v>708</v>
      </c>
      <c r="B124" s="220">
        <f>'Sources of Funds Worksheet'!D16</f>
        <v>0</v>
      </c>
      <c r="C124" s="214"/>
      <c r="D124" s="236" t="s">
        <v>596</v>
      </c>
      <c r="E124" s="215"/>
    </row>
    <row r="125" spans="1:6" x14ac:dyDescent="0.2">
      <c r="A125" s="214" t="s">
        <v>709</v>
      </c>
      <c r="B125" s="221">
        <f>'Sources of Funds Worksheet'!E16</f>
        <v>0</v>
      </c>
      <c r="C125" s="214"/>
      <c r="D125" s="236" t="s">
        <v>596</v>
      </c>
      <c r="E125" s="215"/>
    </row>
    <row r="126" spans="1:6" x14ac:dyDescent="0.2">
      <c r="A126" s="214" t="s">
        <v>710</v>
      </c>
      <c r="B126" s="222">
        <f>'Sources of Funds Worksheet'!U16</f>
        <v>0</v>
      </c>
      <c r="C126" s="214"/>
      <c r="D126" s="236" t="s">
        <v>596</v>
      </c>
      <c r="E126" s="215"/>
    </row>
    <row r="127" spans="1:6" x14ac:dyDescent="0.2">
      <c r="A127" s="214" t="s">
        <v>711</v>
      </c>
      <c r="B127" s="232" t="str">
        <f>'Sources of Funds Worksheet'!T16</f>
        <v>N</v>
      </c>
      <c r="C127" s="214"/>
      <c r="D127" s="236" t="s">
        <v>596</v>
      </c>
      <c r="E127" s="215"/>
    </row>
    <row r="128" spans="1:6" x14ac:dyDescent="0.2">
      <c r="A128" s="224" t="s">
        <v>712</v>
      </c>
      <c r="B128" s="225" t="s">
        <v>596</v>
      </c>
      <c r="C128" s="226"/>
      <c r="D128" s="236" t="s">
        <v>596</v>
      </c>
      <c r="E128" s="215"/>
      <c r="F128" s="227"/>
    </row>
    <row r="129" spans="1:6" x14ac:dyDescent="0.2">
      <c r="A129" s="224" t="s">
        <v>713</v>
      </c>
      <c r="B129" s="238">
        <f>'Sources of Funds Worksheet'!V16</f>
        <v>0</v>
      </c>
      <c r="C129" s="226"/>
      <c r="D129" s="236" t="s">
        <v>596</v>
      </c>
      <c r="E129" s="215"/>
    </row>
    <row r="130" spans="1:6" x14ac:dyDescent="0.2">
      <c r="A130" s="224" t="s">
        <v>714</v>
      </c>
      <c r="B130" s="229" t="str">
        <f>'Sources of Funds Worksheet'!K16</f>
        <v/>
      </c>
      <c r="C130" s="226"/>
      <c r="D130" s="236" t="s">
        <v>596</v>
      </c>
      <c r="E130" s="215"/>
    </row>
    <row r="131" spans="1:6" x14ac:dyDescent="0.2">
      <c r="A131" s="224" t="s">
        <v>715</v>
      </c>
      <c r="B131" s="234" t="str">
        <f>'Sources of Funds Worksheet'!P16</f>
        <v/>
      </c>
      <c r="C131" s="226"/>
      <c r="D131" s="236" t="s">
        <v>596</v>
      </c>
      <c r="E131" s="215"/>
    </row>
    <row r="132" spans="1:6" x14ac:dyDescent="0.2">
      <c r="A132" s="224" t="s">
        <v>1060</v>
      </c>
      <c r="B132" s="234">
        <v>12</v>
      </c>
      <c r="C132" s="226"/>
      <c r="D132" s="236"/>
      <c r="E132" s="215"/>
      <c r="F132" s="231"/>
    </row>
    <row r="133" spans="1:6" x14ac:dyDescent="0.2">
      <c r="A133" s="214" t="s">
        <v>716</v>
      </c>
      <c r="B133" s="214">
        <f>'Sources of Funds Worksheet'!A17</f>
        <v>0</v>
      </c>
      <c r="C133" s="214"/>
      <c r="D133" s="236" t="s">
        <v>596</v>
      </c>
      <c r="E133" s="215"/>
    </row>
    <row r="134" spans="1:6" x14ac:dyDescent="0.2">
      <c r="A134" s="214" t="s">
        <v>717</v>
      </c>
      <c r="B134" s="218" t="str">
        <f>'Sources of Funds Worksheet'!S17</f>
        <v>NA</v>
      </c>
      <c r="C134" s="214"/>
      <c r="D134" s="236" t="s">
        <v>596</v>
      </c>
      <c r="E134" s="215"/>
      <c r="F134" s="219"/>
    </row>
    <row r="135" spans="1:6" x14ac:dyDescent="0.2">
      <c r="A135" s="214" t="s">
        <v>718</v>
      </c>
      <c r="B135" s="220">
        <f>'Sources of Funds Worksheet'!D17</f>
        <v>0</v>
      </c>
      <c r="C135" s="214"/>
      <c r="D135" s="236" t="s">
        <v>596</v>
      </c>
      <c r="E135" s="215"/>
    </row>
    <row r="136" spans="1:6" x14ac:dyDescent="0.2">
      <c r="A136" s="214" t="s">
        <v>719</v>
      </c>
      <c r="B136" s="221">
        <f>'Sources of Funds Worksheet'!E17</f>
        <v>0</v>
      </c>
      <c r="C136" s="214"/>
      <c r="D136" s="236" t="s">
        <v>596</v>
      </c>
      <c r="E136" s="215"/>
    </row>
    <row r="137" spans="1:6" x14ac:dyDescent="0.2">
      <c r="A137" s="214" t="s">
        <v>720</v>
      </c>
      <c r="B137" s="239">
        <f>'Sources of Funds Worksheet'!U17</f>
        <v>0</v>
      </c>
      <c r="C137" s="214"/>
      <c r="D137" s="236" t="s">
        <v>596</v>
      </c>
      <c r="E137" s="215"/>
    </row>
    <row r="138" spans="1:6" x14ac:dyDescent="0.2">
      <c r="A138" s="214" t="s">
        <v>721</v>
      </c>
      <c r="B138" s="232" t="str">
        <f>'Sources of Funds Worksheet'!T17</f>
        <v>N</v>
      </c>
      <c r="C138" s="214"/>
      <c r="D138" s="236" t="s">
        <v>596</v>
      </c>
      <c r="E138" s="215"/>
    </row>
    <row r="139" spans="1:6" x14ac:dyDescent="0.2">
      <c r="A139" s="224" t="s">
        <v>722</v>
      </c>
      <c r="B139" s="225" t="s">
        <v>596</v>
      </c>
      <c r="C139" s="226"/>
      <c r="D139" s="236" t="s">
        <v>596</v>
      </c>
      <c r="E139" s="215"/>
      <c r="F139" s="227"/>
    </row>
    <row r="140" spans="1:6" x14ac:dyDescent="0.2">
      <c r="A140" s="224" t="s">
        <v>723</v>
      </c>
      <c r="B140" s="238">
        <f>'Sources of Funds Worksheet'!V17</f>
        <v>0</v>
      </c>
      <c r="C140" s="226"/>
      <c r="D140" s="236" t="s">
        <v>596</v>
      </c>
      <c r="E140" s="215"/>
    </row>
    <row r="141" spans="1:6" x14ac:dyDescent="0.2">
      <c r="A141" s="224" t="s">
        <v>724</v>
      </c>
      <c r="B141" s="229" t="str">
        <f>'Sources of Funds Worksheet'!K17</f>
        <v/>
      </c>
      <c r="C141" s="226"/>
      <c r="D141" s="236" t="s">
        <v>596</v>
      </c>
      <c r="E141" s="215"/>
    </row>
    <row r="142" spans="1:6" x14ac:dyDescent="0.2">
      <c r="A142" s="224" t="s">
        <v>725</v>
      </c>
      <c r="B142" s="234" t="str">
        <f>'Sources of Funds Worksheet'!P17</f>
        <v/>
      </c>
      <c r="C142" s="226"/>
      <c r="D142" s="236" t="s">
        <v>596</v>
      </c>
      <c r="E142" s="215"/>
    </row>
    <row r="143" spans="1:6" x14ac:dyDescent="0.2">
      <c r="A143" s="224" t="s">
        <v>1061</v>
      </c>
      <c r="B143" s="234">
        <v>13</v>
      </c>
      <c r="C143" s="226"/>
      <c r="D143" s="236"/>
      <c r="E143" s="215"/>
      <c r="F143" s="231"/>
    </row>
    <row r="144" spans="1:6" x14ac:dyDescent="0.2">
      <c r="A144" s="214" t="s">
        <v>726</v>
      </c>
      <c r="B144" s="214" t="str">
        <f>'Sources of Funds Worksheet'!Q11</f>
        <v>AHP Direct Subsidy</v>
      </c>
      <c r="C144" s="214"/>
      <c r="D144" s="215" t="s">
        <v>596</v>
      </c>
      <c r="E144" s="215"/>
    </row>
    <row r="145" spans="1:6" x14ac:dyDescent="0.2">
      <c r="A145" s="214" t="s">
        <v>727</v>
      </c>
      <c r="B145" s="218">
        <f>'Sources of Funds Worksheet'!S6</f>
        <v>1</v>
      </c>
      <c r="C145" s="214"/>
      <c r="D145" s="215" t="s">
        <v>596</v>
      </c>
      <c r="E145" s="215"/>
      <c r="F145" s="219"/>
    </row>
    <row r="146" spans="1:6" x14ac:dyDescent="0.2">
      <c r="A146" s="214" t="s">
        <v>728</v>
      </c>
      <c r="B146" s="220">
        <f>'Sources of Funds Worksheet'!R11</f>
        <v>0</v>
      </c>
      <c r="C146" s="214"/>
      <c r="D146" s="215" t="s">
        <v>596</v>
      </c>
      <c r="E146" s="215"/>
    </row>
    <row r="147" spans="1:6" x14ac:dyDescent="0.2">
      <c r="A147" s="214" t="s">
        <v>729</v>
      </c>
      <c r="B147" s="221">
        <f>'Sources of Funds Worksheet'!E5</f>
        <v>0</v>
      </c>
      <c r="C147" s="214"/>
      <c r="D147" s="215" t="s">
        <v>596</v>
      </c>
      <c r="E147" s="215"/>
    </row>
    <row r="148" spans="1:6" x14ac:dyDescent="0.2">
      <c r="A148" s="214" t="s">
        <v>730</v>
      </c>
      <c r="B148" s="222">
        <f>'Sources of Funds Worksheet'!U5</f>
        <v>0</v>
      </c>
      <c r="C148" s="214"/>
      <c r="D148" s="215" t="s">
        <v>596</v>
      </c>
      <c r="E148" s="215"/>
    </row>
    <row r="149" spans="1:6" x14ac:dyDescent="0.2">
      <c r="A149" s="214" t="s">
        <v>731</v>
      </c>
      <c r="B149" s="232" t="str">
        <f>'Sources of Funds Worksheet'!T6</f>
        <v>N</v>
      </c>
      <c r="C149" s="214"/>
      <c r="D149" s="215" t="s">
        <v>596</v>
      </c>
      <c r="E149" s="215"/>
    </row>
    <row r="150" spans="1:6" x14ac:dyDescent="0.2">
      <c r="A150" s="224" t="s">
        <v>732</v>
      </c>
      <c r="B150" s="225" t="s">
        <v>596</v>
      </c>
      <c r="C150" s="226"/>
      <c r="D150" s="215" t="s">
        <v>596</v>
      </c>
      <c r="E150" s="215"/>
      <c r="F150" s="227"/>
    </row>
    <row r="151" spans="1:6" x14ac:dyDescent="0.2">
      <c r="A151" s="224" t="s">
        <v>733</v>
      </c>
      <c r="B151" s="228">
        <f>'Sources of Funds Worksheet'!V5</f>
        <v>0</v>
      </c>
      <c r="C151" s="226"/>
      <c r="D151" s="215" t="s">
        <v>596</v>
      </c>
      <c r="E151" s="215"/>
    </row>
    <row r="152" spans="1:6" x14ac:dyDescent="0.2">
      <c r="A152" s="224" t="s">
        <v>734</v>
      </c>
      <c r="B152" s="229" t="str">
        <f>'Sources of Funds Worksheet'!K6</f>
        <v/>
      </c>
      <c r="C152" s="226"/>
      <c r="D152" s="215" t="s">
        <v>596</v>
      </c>
      <c r="E152" s="215"/>
    </row>
    <row r="153" spans="1:6" x14ac:dyDescent="0.2">
      <c r="A153" s="224" t="s">
        <v>735</v>
      </c>
      <c r="B153" s="230" t="str">
        <f>'Sources of Funds Worksheet'!P6</f>
        <v/>
      </c>
      <c r="C153" s="226"/>
      <c r="D153" s="215" t="s">
        <v>596</v>
      </c>
      <c r="E153" s="215"/>
    </row>
    <row r="154" spans="1:6" x14ac:dyDescent="0.2">
      <c r="A154" s="224" t="s">
        <v>1062</v>
      </c>
      <c r="B154" s="230">
        <v>14</v>
      </c>
      <c r="C154" s="226"/>
      <c r="D154" s="215"/>
      <c r="E154" s="215"/>
      <c r="F154" s="231"/>
    </row>
    <row r="155" spans="1:6" x14ac:dyDescent="0.2">
      <c r="A155" s="240" t="s">
        <v>736</v>
      </c>
      <c r="B155" s="240"/>
      <c r="C155" s="240"/>
      <c r="D155" s="240" t="s">
        <v>737</v>
      </c>
      <c r="E155" s="216"/>
      <c r="F155" s="241"/>
    </row>
    <row r="156" spans="1:6" x14ac:dyDescent="0.2">
      <c r="A156" s="240" t="s">
        <v>738</v>
      </c>
      <c r="B156" s="242"/>
      <c r="C156" s="240"/>
      <c r="D156" s="240" t="s">
        <v>737</v>
      </c>
      <c r="E156" s="216"/>
      <c r="F156" s="243"/>
    </row>
    <row r="157" spans="1:6" x14ac:dyDescent="0.2">
      <c r="A157" s="240" t="s">
        <v>739</v>
      </c>
      <c r="B157" s="244"/>
      <c r="C157" s="240"/>
      <c r="D157" s="240" t="s">
        <v>737</v>
      </c>
      <c r="E157" s="216"/>
    </row>
    <row r="158" spans="1:6" x14ac:dyDescent="0.2">
      <c r="A158" s="240" t="s">
        <v>740</v>
      </c>
      <c r="B158" s="245"/>
      <c r="C158" s="240"/>
      <c r="D158" s="240" t="s">
        <v>737</v>
      </c>
      <c r="E158" s="216"/>
    </row>
    <row r="159" spans="1:6" x14ac:dyDescent="0.2">
      <c r="A159" s="240" t="s">
        <v>741</v>
      </c>
      <c r="B159" s="246"/>
      <c r="C159" s="240"/>
      <c r="D159" s="240" t="s">
        <v>737</v>
      </c>
      <c r="E159" s="216"/>
    </row>
    <row r="160" spans="1:6" x14ac:dyDescent="0.2">
      <c r="A160" s="240" t="s">
        <v>742</v>
      </c>
      <c r="B160" s="240"/>
      <c r="C160" s="240"/>
      <c r="D160" s="240" t="s">
        <v>737</v>
      </c>
      <c r="E160" s="216"/>
      <c r="F160" s="247"/>
    </row>
    <row r="161" spans="1:6" x14ac:dyDescent="0.2">
      <c r="A161" s="248" t="s">
        <v>743</v>
      </c>
      <c r="B161" s="249"/>
      <c r="C161" s="249"/>
      <c r="D161" s="240" t="s">
        <v>737</v>
      </c>
      <c r="E161" s="216"/>
      <c r="F161" s="250"/>
    </row>
    <row r="162" spans="1:6" x14ac:dyDescent="0.2">
      <c r="A162" s="248" t="s">
        <v>744</v>
      </c>
      <c r="B162" s="251"/>
      <c r="C162" s="249"/>
      <c r="D162" s="240" t="s">
        <v>737</v>
      </c>
      <c r="E162" s="216"/>
    </row>
    <row r="163" spans="1:6" x14ac:dyDescent="0.2">
      <c r="A163" s="248" t="s">
        <v>745</v>
      </c>
      <c r="B163" s="252"/>
      <c r="C163" s="249"/>
      <c r="D163" s="240" t="s">
        <v>737</v>
      </c>
      <c r="E163" s="216"/>
    </row>
    <row r="164" spans="1:6" x14ac:dyDescent="0.2">
      <c r="A164" s="248" t="s">
        <v>746</v>
      </c>
      <c r="B164" s="253"/>
      <c r="C164" s="249"/>
      <c r="D164" s="240" t="s">
        <v>737</v>
      </c>
      <c r="E164" s="216"/>
    </row>
    <row r="165" spans="1:6" x14ac:dyDescent="0.2">
      <c r="A165" s="248" t="s">
        <v>1063</v>
      </c>
      <c r="B165" s="253"/>
      <c r="C165" s="249"/>
      <c r="D165" s="240"/>
      <c r="E165" s="216"/>
      <c r="F165" s="254"/>
    </row>
    <row r="166" spans="1:6" x14ac:dyDescent="0.2">
      <c r="A166" s="240" t="s">
        <v>747</v>
      </c>
      <c r="B166" s="240"/>
      <c r="C166" s="240"/>
      <c r="D166" s="240" t="s">
        <v>737</v>
      </c>
      <c r="E166" s="216"/>
      <c r="F166" s="241"/>
    </row>
    <row r="167" spans="1:6" x14ac:dyDescent="0.2">
      <c r="A167" s="240" t="s">
        <v>748</v>
      </c>
      <c r="B167" s="255"/>
      <c r="C167" s="240"/>
      <c r="D167" s="240" t="s">
        <v>737</v>
      </c>
      <c r="E167" s="216"/>
      <c r="F167" s="243"/>
    </row>
    <row r="168" spans="1:6" x14ac:dyDescent="0.2">
      <c r="A168" s="240" t="s">
        <v>749</v>
      </c>
      <c r="B168" s="244"/>
      <c r="C168" s="240"/>
      <c r="D168" s="240" t="s">
        <v>737</v>
      </c>
      <c r="E168" s="216"/>
    </row>
    <row r="169" spans="1:6" x14ac:dyDescent="0.2">
      <c r="A169" s="240" t="s">
        <v>750</v>
      </c>
      <c r="B169" s="245"/>
      <c r="C169" s="240"/>
      <c r="D169" s="240" t="s">
        <v>737</v>
      </c>
      <c r="E169" s="216"/>
    </row>
    <row r="170" spans="1:6" x14ac:dyDescent="0.2">
      <c r="A170" s="240" t="s">
        <v>751</v>
      </c>
      <c r="B170" s="246"/>
      <c r="C170" s="240"/>
      <c r="D170" s="240" t="s">
        <v>737</v>
      </c>
      <c r="E170" s="216"/>
    </row>
    <row r="171" spans="1:6" x14ac:dyDescent="0.2">
      <c r="A171" s="240" t="s">
        <v>752</v>
      </c>
      <c r="B171" s="240"/>
      <c r="C171" s="240"/>
      <c r="D171" s="240" t="s">
        <v>737</v>
      </c>
      <c r="E171" s="216"/>
      <c r="F171" s="247"/>
    </row>
    <row r="172" spans="1:6" x14ac:dyDescent="0.2">
      <c r="A172" s="248" t="s">
        <v>753</v>
      </c>
      <c r="B172" s="249"/>
      <c r="C172" s="249"/>
      <c r="D172" s="240" t="s">
        <v>737</v>
      </c>
      <c r="E172" s="216"/>
      <c r="F172" s="250"/>
    </row>
    <row r="173" spans="1:6" x14ac:dyDescent="0.2">
      <c r="A173" s="248" t="s">
        <v>754</v>
      </c>
      <c r="B173" s="251"/>
      <c r="C173" s="249"/>
      <c r="D173" s="240" t="s">
        <v>737</v>
      </c>
      <c r="E173" s="216"/>
    </row>
    <row r="174" spans="1:6" x14ac:dyDescent="0.2">
      <c r="A174" s="248" t="s">
        <v>755</v>
      </c>
      <c r="B174" s="252"/>
      <c r="C174" s="249"/>
      <c r="D174" s="240" t="s">
        <v>737</v>
      </c>
      <c r="E174" s="216"/>
    </row>
    <row r="175" spans="1:6" x14ac:dyDescent="0.2">
      <c r="A175" s="248" t="s">
        <v>756</v>
      </c>
      <c r="B175" s="253"/>
      <c r="C175" s="249"/>
      <c r="D175" s="240" t="s">
        <v>737</v>
      </c>
      <c r="E175" s="216"/>
    </row>
    <row r="176" spans="1:6" x14ac:dyDescent="0.2">
      <c r="A176" s="248" t="s">
        <v>1064</v>
      </c>
      <c r="B176" s="253"/>
      <c r="C176" s="249"/>
      <c r="D176" s="240"/>
      <c r="E176" s="216"/>
      <c r="F176" s="254"/>
    </row>
    <row r="177" spans="1:6" x14ac:dyDescent="0.2">
      <c r="A177" s="240" t="s">
        <v>757</v>
      </c>
      <c r="B177" s="240"/>
      <c r="C177" s="240"/>
      <c r="D177" s="240" t="s">
        <v>737</v>
      </c>
      <c r="E177" s="216"/>
      <c r="F177" s="241"/>
    </row>
    <row r="178" spans="1:6" x14ac:dyDescent="0.2">
      <c r="A178" s="240" t="s">
        <v>758</v>
      </c>
      <c r="B178" s="255"/>
      <c r="C178" s="240"/>
      <c r="D178" s="240" t="s">
        <v>737</v>
      </c>
      <c r="E178" s="216"/>
      <c r="F178" s="243"/>
    </row>
    <row r="179" spans="1:6" x14ac:dyDescent="0.2">
      <c r="A179" s="240" t="s">
        <v>759</v>
      </c>
      <c r="B179" s="244"/>
      <c r="C179" s="240"/>
      <c r="D179" s="240" t="s">
        <v>737</v>
      </c>
      <c r="E179" s="216"/>
    </row>
    <row r="180" spans="1:6" x14ac:dyDescent="0.2">
      <c r="A180" s="240" t="s">
        <v>760</v>
      </c>
      <c r="B180" s="245"/>
      <c r="C180" s="240"/>
      <c r="D180" s="240" t="s">
        <v>737</v>
      </c>
      <c r="E180" s="216"/>
    </row>
    <row r="181" spans="1:6" x14ac:dyDescent="0.2">
      <c r="A181" s="240" t="s">
        <v>761</v>
      </c>
      <c r="B181" s="246"/>
      <c r="C181" s="240"/>
      <c r="D181" s="240" t="s">
        <v>737</v>
      </c>
      <c r="E181" s="216"/>
    </row>
    <row r="182" spans="1:6" x14ac:dyDescent="0.2">
      <c r="A182" s="240" t="s">
        <v>762</v>
      </c>
      <c r="B182" s="240"/>
      <c r="C182" s="240"/>
      <c r="D182" s="240" t="s">
        <v>737</v>
      </c>
      <c r="E182" s="216"/>
      <c r="F182" s="247"/>
    </row>
    <row r="183" spans="1:6" x14ac:dyDescent="0.2">
      <c r="A183" s="248" t="s">
        <v>763</v>
      </c>
      <c r="B183" s="249"/>
      <c r="C183" s="249"/>
      <c r="D183" s="240" t="s">
        <v>737</v>
      </c>
      <c r="E183" s="216"/>
      <c r="F183" s="250"/>
    </row>
    <row r="184" spans="1:6" x14ac:dyDescent="0.2">
      <c r="A184" s="248" t="s">
        <v>764</v>
      </c>
      <c r="B184" s="251"/>
      <c r="C184" s="249"/>
      <c r="D184" s="240" t="s">
        <v>737</v>
      </c>
      <c r="E184" s="216"/>
    </row>
    <row r="185" spans="1:6" x14ac:dyDescent="0.2">
      <c r="A185" s="248" t="s">
        <v>765</v>
      </c>
      <c r="B185" s="252"/>
      <c r="C185" s="249"/>
      <c r="D185" s="240" t="s">
        <v>737</v>
      </c>
      <c r="E185" s="216"/>
    </row>
    <row r="186" spans="1:6" x14ac:dyDescent="0.2">
      <c r="A186" s="248" t="s">
        <v>766</v>
      </c>
      <c r="B186" s="253"/>
      <c r="C186" s="249"/>
      <c r="D186" s="240" t="s">
        <v>737</v>
      </c>
      <c r="E186" s="216"/>
    </row>
    <row r="187" spans="1:6" x14ac:dyDescent="0.2">
      <c r="A187" s="248" t="s">
        <v>1065</v>
      </c>
      <c r="B187" s="253"/>
      <c r="C187" s="249"/>
      <c r="D187" s="240"/>
      <c r="E187" s="216"/>
      <c r="F187" s="254"/>
    </row>
    <row r="188" spans="1:6" x14ac:dyDescent="0.2">
      <c r="A188" s="240" t="s">
        <v>767</v>
      </c>
      <c r="B188" s="240"/>
      <c r="C188" s="240"/>
      <c r="D188" s="240" t="s">
        <v>737</v>
      </c>
      <c r="E188" s="216"/>
      <c r="F188" s="241"/>
    </row>
    <row r="189" spans="1:6" x14ac:dyDescent="0.2">
      <c r="A189" s="240" t="s">
        <v>768</v>
      </c>
      <c r="B189" s="255"/>
      <c r="C189" s="240"/>
      <c r="D189" s="240" t="s">
        <v>737</v>
      </c>
      <c r="E189" s="216"/>
      <c r="F189" s="243"/>
    </row>
    <row r="190" spans="1:6" x14ac:dyDescent="0.2">
      <c r="A190" s="240" t="s">
        <v>769</v>
      </c>
      <c r="B190" s="244"/>
      <c r="C190" s="240"/>
      <c r="D190" s="240" t="s">
        <v>737</v>
      </c>
      <c r="E190" s="216"/>
    </row>
    <row r="191" spans="1:6" x14ac:dyDescent="0.2">
      <c r="A191" s="240" t="s">
        <v>770</v>
      </c>
      <c r="B191" s="245"/>
      <c r="C191" s="240"/>
      <c r="D191" s="240" t="s">
        <v>737</v>
      </c>
      <c r="E191" s="216"/>
    </row>
    <row r="192" spans="1:6" x14ac:dyDescent="0.2">
      <c r="A192" s="240" t="s">
        <v>771</v>
      </c>
      <c r="B192" s="246"/>
      <c r="C192" s="240"/>
      <c r="D192" s="240" t="s">
        <v>737</v>
      </c>
      <c r="E192" s="216"/>
    </row>
    <row r="193" spans="1:6" x14ac:dyDescent="0.2">
      <c r="A193" s="240" t="s">
        <v>772</v>
      </c>
      <c r="B193" s="240"/>
      <c r="C193" s="240"/>
      <c r="D193" s="240" t="s">
        <v>737</v>
      </c>
      <c r="E193" s="216"/>
      <c r="F193" s="247"/>
    </row>
    <row r="194" spans="1:6" x14ac:dyDescent="0.2">
      <c r="A194" s="248" t="s">
        <v>773</v>
      </c>
      <c r="B194" s="249"/>
      <c r="C194" s="249"/>
      <c r="D194" s="240" t="s">
        <v>737</v>
      </c>
      <c r="E194" s="216"/>
      <c r="F194" s="250"/>
    </row>
    <row r="195" spans="1:6" x14ac:dyDescent="0.2">
      <c r="A195" s="248" t="s">
        <v>774</v>
      </c>
      <c r="B195" s="251"/>
      <c r="C195" s="249"/>
      <c r="D195" s="240" t="s">
        <v>737</v>
      </c>
      <c r="E195" s="216"/>
    </row>
    <row r="196" spans="1:6" x14ac:dyDescent="0.2">
      <c r="A196" s="248" t="s">
        <v>775</v>
      </c>
      <c r="B196" s="252"/>
      <c r="C196" s="249"/>
      <c r="D196" s="240" t="s">
        <v>737</v>
      </c>
      <c r="E196" s="216"/>
    </row>
    <row r="197" spans="1:6" x14ac:dyDescent="0.2">
      <c r="A197" s="248" t="s">
        <v>776</v>
      </c>
      <c r="B197" s="253"/>
      <c r="C197" s="249"/>
      <c r="D197" s="240" t="s">
        <v>737</v>
      </c>
      <c r="E197" s="216"/>
    </row>
    <row r="198" spans="1:6" x14ac:dyDescent="0.2">
      <c r="A198" s="248" t="s">
        <v>1066</v>
      </c>
      <c r="B198" s="253"/>
      <c r="C198" s="249"/>
      <c r="D198" s="240"/>
      <c r="E198" s="216"/>
      <c r="F198" s="254"/>
    </row>
    <row r="199" spans="1:6" x14ac:dyDescent="0.2">
      <c r="A199" s="240" t="s">
        <v>777</v>
      </c>
      <c r="B199" s="240"/>
      <c r="C199" s="240"/>
      <c r="D199" s="240" t="s">
        <v>737</v>
      </c>
      <c r="E199" s="216"/>
      <c r="F199" s="241"/>
    </row>
    <row r="200" spans="1:6" x14ac:dyDescent="0.2">
      <c r="A200" s="240" t="s">
        <v>778</v>
      </c>
      <c r="B200" s="255"/>
      <c r="C200" s="240"/>
      <c r="D200" s="240" t="s">
        <v>737</v>
      </c>
      <c r="E200" s="216"/>
      <c r="F200" s="243"/>
    </row>
    <row r="201" spans="1:6" x14ac:dyDescent="0.2">
      <c r="A201" s="240" t="s">
        <v>779</v>
      </c>
      <c r="B201" s="244"/>
      <c r="C201" s="240"/>
      <c r="D201" s="240" t="s">
        <v>737</v>
      </c>
      <c r="E201" s="216"/>
    </row>
    <row r="202" spans="1:6" x14ac:dyDescent="0.2">
      <c r="A202" s="240" t="s">
        <v>780</v>
      </c>
      <c r="B202" s="245"/>
      <c r="C202" s="240"/>
      <c r="D202" s="240" t="s">
        <v>737</v>
      </c>
      <c r="E202" s="216"/>
    </row>
    <row r="203" spans="1:6" x14ac:dyDescent="0.2">
      <c r="A203" s="240" t="s">
        <v>781</v>
      </c>
      <c r="B203" s="246"/>
      <c r="C203" s="240"/>
      <c r="D203" s="240" t="s">
        <v>737</v>
      </c>
      <c r="E203" s="216"/>
    </row>
    <row r="204" spans="1:6" x14ac:dyDescent="0.2">
      <c r="A204" s="240" t="s">
        <v>782</v>
      </c>
      <c r="B204" s="240"/>
      <c r="C204" s="240"/>
      <c r="D204" s="240" t="s">
        <v>737</v>
      </c>
      <c r="E204" s="216"/>
      <c r="F204" s="247"/>
    </row>
    <row r="205" spans="1:6" x14ac:dyDescent="0.2">
      <c r="A205" s="248" t="s">
        <v>783</v>
      </c>
      <c r="B205" s="249"/>
      <c r="C205" s="249"/>
      <c r="D205" s="240" t="s">
        <v>737</v>
      </c>
      <c r="E205" s="216"/>
      <c r="F205" s="250"/>
    </row>
    <row r="206" spans="1:6" x14ac:dyDescent="0.2">
      <c r="A206" s="248" t="s">
        <v>784</v>
      </c>
      <c r="B206" s="251"/>
      <c r="C206" s="249"/>
      <c r="D206" s="240" t="s">
        <v>737</v>
      </c>
      <c r="E206" s="216"/>
    </row>
    <row r="207" spans="1:6" x14ac:dyDescent="0.2">
      <c r="A207" s="248" t="s">
        <v>785</v>
      </c>
      <c r="B207" s="252"/>
      <c r="C207" s="249"/>
      <c r="D207" s="240" t="s">
        <v>737</v>
      </c>
      <c r="E207" s="216"/>
    </row>
    <row r="208" spans="1:6" x14ac:dyDescent="0.2">
      <c r="A208" s="248" t="s">
        <v>786</v>
      </c>
      <c r="B208" s="253"/>
      <c r="C208" s="249"/>
      <c r="D208" s="240" t="s">
        <v>737</v>
      </c>
      <c r="E208" s="216"/>
    </row>
    <row r="209" spans="1:6" x14ac:dyDescent="0.2">
      <c r="A209" s="248" t="s">
        <v>1067</v>
      </c>
      <c r="B209" s="253"/>
      <c r="C209" s="249"/>
      <c r="D209" s="240"/>
      <c r="E209" s="216"/>
      <c r="F209" s="254"/>
    </row>
    <row r="210" spans="1:6" x14ac:dyDescent="0.2">
      <c r="A210" s="240" t="s">
        <v>787</v>
      </c>
      <c r="B210" s="240"/>
      <c r="C210" s="240"/>
      <c r="D210" s="240" t="s">
        <v>737</v>
      </c>
      <c r="E210" s="216"/>
      <c r="F210" s="241"/>
    </row>
    <row r="211" spans="1:6" x14ac:dyDescent="0.2">
      <c r="A211" s="240" t="s">
        <v>788</v>
      </c>
      <c r="B211" s="255"/>
      <c r="C211" s="240"/>
      <c r="D211" s="240" t="s">
        <v>737</v>
      </c>
      <c r="E211" s="216"/>
      <c r="F211" s="243"/>
    </row>
    <row r="212" spans="1:6" x14ac:dyDescent="0.2">
      <c r="A212" s="240" t="s">
        <v>789</v>
      </c>
      <c r="B212" s="244"/>
      <c r="C212" s="240"/>
      <c r="D212" s="240" t="s">
        <v>737</v>
      </c>
      <c r="E212" s="216"/>
    </row>
    <row r="213" spans="1:6" x14ac:dyDescent="0.2">
      <c r="A213" s="240" t="s">
        <v>790</v>
      </c>
      <c r="B213" s="245"/>
      <c r="C213" s="240"/>
      <c r="D213" s="240" t="s">
        <v>737</v>
      </c>
      <c r="E213" s="216"/>
    </row>
    <row r="214" spans="1:6" x14ac:dyDescent="0.2">
      <c r="A214" s="240" t="s">
        <v>791</v>
      </c>
      <c r="B214" s="246"/>
      <c r="C214" s="240"/>
      <c r="D214" s="240" t="s">
        <v>737</v>
      </c>
      <c r="E214" s="216"/>
    </row>
    <row r="215" spans="1:6" x14ac:dyDescent="0.2">
      <c r="A215" s="240" t="s">
        <v>792</v>
      </c>
      <c r="B215" s="240"/>
      <c r="C215" s="240"/>
      <c r="D215" s="240" t="s">
        <v>737</v>
      </c>
      <c r="E215" s="216"/>
      <c r="F215" s="247"/>
    </row>
    <row r="216" spans="1:6" x14ac:dyDescent="0.2">
      <c r="A216" s="248" t="s">
        <v>793</v>
      </c>
      <c r="B216" s="249"/>
      <c r="C216" s="249"/>
      <c r="D216" s="240" t="s">
        <v>737</v>
      </c>
      <c r="E216" s="216"/>
      <c r="F216" s="250"/>
    </row>
    <row r="217" spans="1:6" x14ac:dyDescent="0.2">
      <c r="A217" s="248" t="s">
        <v>794</v>
      </c>
      <c r="B217" s="251"/>
      <c r="C217" s="249"/>
      <c r="D217" s="240" t="s">
        <v>737</v>
      </c>
      <c r="E217" s="216"/>
    </row>
    <row r="218" spans="1:6" x14ac:dyDescent="0.2">
      <c r="A218" s="248" t="s">
        <v>795</v>
      </c>
      <c r="B218" s="252"/>
      <c r="C218" s="249"/>
      <c r="D218" s="240" t="s">
        <v>737</v>
      </c>
      <c r="E218" s="216"/>
    </row>
    <row r="219" spans="1:6" x14ac:dyDescent="0.2">
      <c r="A219" s="248" t="s">
        <v>796</v>
      </c>
      <c r="B219" s="253"/>
      <c r="C219" s="249"/>
      <c r="D219" s="240" t="s">
        <v>737</v>
      </c>
      <c r="E219" s="216"/>
    </row>
    <row r="220" spans="1:6" x14ac:dyDescent="0.2">
      <c r="A220" s="248" t="s">
        <v>1068</v>
      </c>
      <c r="B220" s="253"/>
      <c r="C220" s="249"/>
      <c r="D220" s="240"/>
      <c r="E220" s="216"/>
      <c r="F220" s="254"/>
    </row>
    <row r="221" spans="1:6" x14ac:dyDescent="0.2">
      <c r="A221" s="240" t="s">
        <v>797</v>
      </c>
      <c r="B221" s="240"/>
      <c r="C221" s="240"/>
      <c r="D221" s="240" t="s">
        <v>737</v>
      </c>
      <c r="E221" s="216"/>
      <c r="F221" s="241"/>
    </row>
    <row r="222" spans="1:6" x14ac:dyDescent="0.2">
      <c r="A222" s="240" t="s">
        <v>798</v>
      </c>
      <c r="B222" s="255"/>
      <c r="C222" s="240"/>
      <c r="D222" s="240" t="s">
        <v>737</v>
      </c>
      <c r="E222" s="216"/>
    </row>
    <row r="223" spans="1:6" x14ac:dyDescent="0.2">
      <c r="A223" s="240" t="s">
        <v>799</v>
      </c>
      <c r="B223" s="244"/>
      <c r="C223" s="240"/>
      <c r="D223" s="240" t="s">
        <v>737</v>
      </c>
      <c r="E223" s="216"/>
    </row>
    <row r="224" spans="1:6" x14ac:dyDescent="0.2">
      <c r="A224" s="240" t="s">
        <v>800</v>
      </c>
      <c r="B224" s="245"/>
      <c r="C224" s="240"/>
      <c r="D224" s="240" t="s">
        <v>737</v>
      </c>
      <c r="E224" s="216"/>
    </row>
    <row r="225" spans="1:6" x14ac:dyDescent="0.2">
      <c r="A225" s="240" t="s">
        <v>801</v>
      </c>
      <c r="B225" s="246"/>
      <c r="C225" s="240"/>
      <c r="D225" s="240" t="s">
        <v>737</v>
      </c>
      <c r="E225" s="216"/>
    </row>
    <row r="226" spans="1:6" x14ac:dyDescent="0.2">
      <c r="A226" s="240" t="s">
        <v>802</v>
      </c>
      <c r="B226" s="240"/>
      <c r="C226" s="240"/>
      <c r="D226" s="240" t="s">
        <v>737</v>
      </c>
      <c r="E226" s="216"/>
    </row>
    <row r="227" spans="1:6" x14ac:dyDescent="0.2">
      <c r="A227" s="248" t="s">
        <v>803</v>
      </c>
      <c r="B227" s="249"/>
      <c r="C227" s="249"/>
      <c r="D227" s="240" t="s">
        <v>737</v>
      </c>
      <c r="E227" s="216"/>
    </row>
    <row r="228" spans="1:6" x14ac:dyDescent="0.2">
      <c r="A228" s="248" t="s">
        <v>804</v>
      </c>
      <c r="B228" s="251"/>
      <c r="C228" s="249"/>
      <c r="D228" s="240" t="s">
        <v>737</v>
      </c>
      <c r="E228" s="216"/>
    </row>
    <row r="229" spans="1:6" x14ac:dyDescent="0.2">
      <c r="A229" s="248" t="s">
        <v>805</v>
      </c>
      <c r="B229" s="252"/>
      <c r="C229" s="249"/>
      <c r="D229" s="240" t="s">
        <v>737</v>
      </c>
      <c r="E229" s="216"/>
    </row>
    <row r="230" spans="1:6" x14ac:dyDescent="0.2">
      <c r="A230" s="248" t="s">
        <v>806</v>
      </c>
      <c r="B230" s="253"/>
      <c r="C230" s="249"/>
      <c r="D230" s="240" t="s">
        <v>737</v>
      </c>
      <c r="E230" s="216"/>
    </row>
    <row r="231" spans="1:6" x14ac:dyDescent="0.2">
      <c r="A231" s="248" t="s">
        <v>1069</v>
      </c>
      <c r="B231" s="253"/>
      <c r="C231" s="249"/>
      <c r="D231" s="240"/>
      <c r="E231" s="216"/>
      <c r="F231" s="254"/>
    </row>
    <row r="232" spans="1:6" x14ac:dyDescent="0.2">
      <c r="A232" s="240" t="s">
        <v>807</v>
      </c>
      <c r="B232" s="240"/>
      <c r="C232" s="240"/>
      <c r="D232" s="240" t="s">
        <v>737</v>
      </c>
      <c r="E232" s="216"/>
      <c r="F232" s="241"/>
    </row>
    <row r="233" spans="1:6" x14ac:dyDescent="0.2">
      <c r="A233" s="240" t="s">
        <v>808</v>
      </c>
      <c r="B233" s="255"/>
      <c r="C233" s="240"/>
      <c r="D233" s="240" t="s">
        <v>737</v>
      </c>
      <c r="E233" s="216"/>
      <c r="F233" s="243"/>
    </row>
    <row r="234" spans="1:6" x14ac:dyDescent="0.2">
      <c r="A234" s="240" t="s">
        <v>809</v>
      </c>
      <c r="B234" s="244"/>
      <c r="C234" s="240"/>
      <c r="D234" s="240" t="s">
        <v>737</v>
      </c>
      <c r="E234" s="216"/>
    </row>
    <row r="235" spans="1:6" x14ac:dyDescent="0.2">
      <c r="A235" s="240" t="s">
        <v>810</v>
      </c>
      <c r="B235" s="245"/>
      <c r="C235" s="240"/>
      <c r="D235" s="240" t="s">
        <v>737</v>
      </c>
      <c r="E235" s="216"/>
    </row>
    <row r="236" spans="1:6" x14ac:dyDescent="0.2">
      <c r="A236" s="240" t="s">
        <v>811</v>
      </c>
      <c r="B236" s="246"/>
      <c r="C236" s="240"/>
      <c r="D236" s="240" t="s">
        <v>737</v>
      </c>
      <c r="E236" s="216"/>
    </row>
    <row r="237" spans="1:6" x14ac:dyDescent="0.2">
      <c r="A237" s="240" t="s">
        <v>812</v>
      </c>
      <c r="B237" s="240"/>
      <c r="C237" s="240"/>
      <c r="D237" s="240" t="s">
        <v>737</v>
      </c>
      <c r="E237" s="216"/>
      <c r="F237" s="247"/>
    </row>
    <row r="238" spans="1:6" x14ac:dyDescent="0.2">
      <c r="A238" s="248" t="s">
        <v>813</v>
      </c>
      <c r="B238" s="249"/>
      <c r="C238" s="249"/>
      <c r="D238" s="240" t="s">
        <v>737</v>
      </c>
      <c r="E238" s="216"/>
      <c r="F238" s="250"/>
    </row>
    <row r="239" spans="1:6" x14ac:dyDescent="0.2">
      <c r="A239" s="248" t="s">
        <v>814</v>
      </c>
      <c r="B239" s="251"/>
      <c r="C239" s="249"/>
      <c r="D239" s="240" t="s">
        <v>737</v>
      </c>
      <c r="E239" s="216"/>
    </row>
    <row r="240" spans="1:6" x14ac:dyDescent="0.2">
      <c r="A240" s="248" t="s">
        <v>815</v>
      </c>
      <c r="B240" s="252"/>
      <c r="C240" s="249"/>
      <c r="D240" s="240" t="s">
        <v>737</v>
      </c>
      <c r="E240" s="216"/>
    </row>
    <row r="241" spans="1:6" x14ac:dyDescent="0.2">
      <c r="A241" s="248" t="s">
        <v>816</v>
      </c>
      <c r="B241" s="253"/>
      <c r="C241" s="249"/>
      <c r="D241" s="240" t="s">
        <v>737</v>
      </c>
      <c r="E241" s="216"/>
    </row>
    <row r="242" spans="1:6" x14ac:dyDescent="0.2">
      <c r="A242" s="248" t="s">
        <v>1070</v>
      </c>
      <c r="B242" s="253"/>
      <c r="C242" s="249"/>
      <c r="D242" s="240"/>
      <c r="E242" s="216"/>
      <c r="F242" s="254"/>
    </row>
    <row r="243" spans="1:6" x14ac:dyDescent="0.2">
      <c r="A243" s="240" t="s">
        <v>817</v>
      </c>
      <c r="B243" s="240"/>
      <c r="C243" s="240"/>
      <c r="D243" s="240" t="s">
        <v>737</v>
      </c>
      <c r="E243" s="216"/>
      <c r="F243" s="241"/>
    </row>
    <row r="244" spans="1:6" x14ac:dyDescent="0.2">
      <c r="A244" s="240" t="s">
        <v>818</v>
      </c>
      <c r="B244" s="255"/>
      <c r="C244" s="240"/>
      <c r="D244" s="240" t="s">
        <v>737</v>
      </c>
      <c r="E244" s="216"/>
      <c r="F244" s="243"/>
    </row>
    <row r="245" spans="1:6" x14ac:dyDescent="0.2">
      <c r="A245" s="240" t="s">
        <v>819</v>
      </c>
      <c r="B245" s="244"/>
      <c r="C245" s="240"/>
      <c r="D245" s="240" t="s">
        <v>737</v>
      </c>
      <c r="E245" s="216"/>
    </row>
    <row r="246" spans="1:6" x14ac:dyDescent="0.2">
      <c r="A246" s="240" t="s">
        <v>820</v>
      </c>
      <c r="B246" s="245"/>
      <c r="C246" s="240"/>
      <c r="D246" s="240" t="s">
        <v>737</v>
      </c>
      <c r="E246" s="216"/>
    </row>
    <row r="247" spans="1:6" x14ac:dyDescent="0.2">
      <c r="A247" s="240" t="s">
        <v>821</v>
      </c>
      <c r="B247" s="246"/>
      <c r="C247" s="240"/>
      <c r="D247" s="240" t="s">
        <v>737</v>
      </c>
      <c r="E247" s="216"/>
    </row>
    <row r="248" spans="1:6" x14ac:dyDescent="0.2">
      <c r="A248" s="240" t="s">
        <v>822</v>
      </c>
      <c r="B248" s="240"/>
      <c r="C248" s="240"/>
      <c r="D248" s="240" t="s">
        <v>737</v>
      </c>
      <c r="E248" s="216"/>
      <c r="F248" s="247"/>
    </row>
    <row r="249" spans="1:6" x14ac:dyDescent="0.2">
      <c r="A249" s="248" t="s">
        <v>823</v>
      </c>
      <c r="B249" s="249"/>
      <c r="C249" s="249"/>
      <c r="D249" s="240" t="s">
        <v>737</v>
      </c>
      <c r="E249" s="216"/>
      <c r="F249" s="250"/>
    </row>
    <row r="250" spans="1:6" x14ac:dyDescent="0.2">
      <c r="A250" s="248" t="s">
        <v>824</v>
      </c>
      <c r="B250" s="251"/>
      <c r="C250" s="249"/>
      <c r="D250" s="240" t="s">
        <v>737</v>
      </c>
      <c r="E250" s="216"/>
    </row>
    <row r="251" spans="1:6" x14ac:dyDescent="0.2">
      <c r="A251" s="248" t="s">
        <v>825</v>
      </c>
      <c r="B251" s="252"/>
      <c r="C251" s="249"/>
      <c r="D251" s="240" t="s">
        <v>737</v>
      </c>
      <c r="E251" s="216"/>
    </row>
    <row r="252" spans="1:6" x14ac:dyDescent="0.2">
      <c r="A252" s="248" t="s">
        <v>826</v>
      </c>
      <c r="B252" s="253"/>
      <c r="C252" s="249"/>
      <c r="D252" s="240" t="s">
        <v>737</v>
      </c>
      <c r="E252" s="216"/>
    </row>
    <row r="253" spans="1:6" x14ac:dyDescent="0.2">
      <c r="A253" s="248" t="s">
        <v>1071</v>
      </c>
      <c r="B253" s="253"/>
      <c r="C253" s="249"/>
      <c r="D253" s="240"/>
      <c r="E253" s="216"/>
      <c r="F253" s="254"/>
    </row>
    <row r="254" spans="1:6" ht="12" customHeight="1" x14ac:dyDescent="0.2">
      <c r="A254" s="240" t="s">
        <v>827</v>
      </c>
      <c r="B254" s="240"/>
      <c r="C254" s="240"/>
      <c r="D254" s="240" t="s">
        <v>737</v>
      </c>
      <c r="E254" s="216"/>
      <c r="F254" s="241"/>
    </row>
    <row r="255" spans="1:6" x14ac:dyDescent="0.2">
      <c r="A255" s="240" t="s">
        <v>828</v>
      </c>
      <c r="B255" s="255"/>
      <c r="C255" s="240"/>
      <c r="D255" s="240" t="s">
        <v>737</v>
      </c>
      <c r="E255" s="216"/>
      <c r="F255" s="243"/>
    </row>
    <row r="256" spans="1:6" x14ac:dyDescent="0.2">
      <c r="A256" s="240" t="s">
        <v>829</v>
      </c>
      <c r="B256" s="244"/>
      <c r="C256" s="240"/>
      <c r="D256" s="240" t="s">
        <v>737</v>
      </c>
      <c r="E256" s="216"/>
    </row>
    <row r="257" spans="1:6" x14ac:dyDescent="0.2">
      <c r="A257" s="240" t="s">
        <v>830</v>
      </c>
      <c r="B257" s="245"/>
      <c r="C257" s="240"/>
      <c r="D257" s="240" t="s">
        <v>737</v>
      </c>
      <c r="E257" s="216"/>
    </row>
    <row r="258" spans="1:6" x14ac:dyDescent="0.2">
      <c r="A258" s="240" t="s">
        <v>831</v>
      </c>
      <c r="B258" s="246"/>
      <c r="C258" s="240"/>
      <c r="D258" s="240" t="s">
        <v>737</v>
      </c>
      <c r="E258" s="216"/>
    </row>
    <row r="259" spans="1:6" x14ac:dyDescent="0.2">
      <c r="A259" s="240" t="s">
        <v>832</v>
      </c>
      <c r="B259" s="240"/>
      <c r="C259" s="240"/>
      <c r="D259" s="240" t="s">
        <v>737</v>
      </c>
      <c r="E259" s="216"/>
      <c r="F259" s="247"/>
    </row>
    <row r="260" spans="1:6" x14ac:dyDescent="0.2">
      <c r="A260" s="248" t="s">
        <v>833</v>
      </c>
      <c r="B260" s="249"/>
      <c r="C260" s="249"/>
      <c r="D260" s="240" t="s">
        <v>737</v>
      </c>
      <c r="E260" s="216"/>
      <c r="F260" s="250"/>
    </row>
    <row r="261" spans="1:6" x14ac:dyDescent="0.2">
      <c r="A261" s="248" t="s">
        <v>834</v>
      </c>
      <c r="B261" s="251"/>
      <c r="C261" s="249"/>
      <c r="D261" s="240" t="s">
        <v>737</v>
      </c>
      <c r="E261" s="216"/>
    </row>
    <row r="262" spans="1:6" x14ac:dyDescent="0.2">
      <c r="A262" s="248" t="s">
        <v>835</v>
      </c>
      <c r="B262" s="252"/>
      <c r="C262" s="249"/>
      <c r="D262" s="240" t="s">
        <v>737</v>
      </c>
      <c r="E262" s="216"/>
    </row>
    <row r="263" spans="1:6" x14ac:dyDescent="0.2">
      <c r="A263" s="248" t="s">
        <v>836</v>
      </c>
      <c r="B263" s="253"/>
      <c r="C263" s="249"/>
      <c r="D263" s="240" t="s">
        <v>737</v>
      </c>
      <c r="E263" s="216"/>
    </row>
    <row r="264" spans="1:6" x14ac:dyDescent="0.2">
      <c r="A264" s="248" t="s">
        <v>1072</v>
      </c>
      <c r="B264" s="253"/>
      <c r="C264" s="249"/>
      <c r="D264" s="240"/>
      <c r="E264" s="216"/>
      <c r="F264" s="254"/>
    </row>
    <row r="265" spans="1:6" x14ac:dyDescent="0.2">
      <c r="A265" s="240" t="s">
        <v>837</v>
      </c>
      <c r="B265" s="240"/>
      <c r="C265" s="240"/>
      <c r="D265" s="240" t="s">
        <v>737</v>
      </c>
      <c r="E265" s="216"/>
      <c r="F265" s="241"/>
    </row>
    <row r="266" spans="1:6" x14ac:dyDescent="0.2">
      <c r="A266" s="240" t="s">
        <v>838</v>
      </c>
      <c r="B266" s="255"/>
      <c r="C266" s="240"/>
      <c r="D266" s="240" t="s">
        <v>737</v>
      </c>
      <c r="E266" s="216"/>
      <c r="F266" s="243"/>
    </row>
    <row r="267" spans="1:6" x14ac:dyDescent="0.2">
      <c r="A267" s="240" t="s">
        <v>839</v>
      </c>
      <c r="B267" s="244"/>
      <c r="C267" s="240"/>
      <c r="D267" s="240" t="s">
        <v>737</v>
      </c>
      <c r="E267" s="216"/>
    </row>
    <row r="268" spans="1:6" x14ac:dyDescent="0.2">
      <c r="A268" s="240" t="s">
        <v>840</v>
      </c>
      <c r="B268" s="245"/>
      <c r="C268" s="240"/>
      <c r="D268" s="240" t="s">
        <v>737</v>
      </c>
      <c r="E268" s="216"/>
    </row>
    <row r="269" spans="1:6" x14ac:dyDescent="0.2">
      <c r="A269" s="240" t="s">
        <v>841</v>
      </c>
      <c r="B269" s="246"/>
      <c r="C269" s="240"/>
      <c r="D269" s="240" t="s">
        <v>737</v>
      </c>
      <c r="E269" s="216"/>
    </row>
    <row r="270" spans="1:6" x14ac:dyDescent="0.2">
      <c r="A270" s="240" t="s">
        <v>842</v>
      </c>
      <c r="B270" s="240"/>
      <c r="C270" s="240"/>
      <c r="D270" s="240" t="s">
        <v>737</v>
      </c>
      <c r="E270" s="216"/>
      <c r="F270" s="247"/>
    </row>
    <row r="271" spans="1:6" x14ac:dyDescent="0.2">
      <c r="A271" s="248" t="s">
        <v>843</v>
      </c>
      <c r="B271" s="249"/>
      <c r="C271" s="249"/>
      <c r="D271" s="240" t="s">
        <v>737</v>
      </c>
      <c r="E271" s="216"/>
      <c r="F271" s="250"/>
    </row>
    <row r="272" spans="1:6" x14ac:dyDescent="0.2">
      <c r="A272" s="248" t="s">
        <v>844</v>
      </c>
      <c r="B272" s="251"/>
      <c r="C272" s="249"/>
      <c r="D272" s="240" t="s">
        <v>737</v>
      </c>
      <c r="E272" s="216"/>
    </row>
    <row r="273" spans="1:6" x14ac:dyDescent="0.2">
      <c r="A273" s="248" t="s">
        <v>845</v>
      </c>
      <c r="B273" s="252"/>
      <c r="C273" s="249"/>
      <c r="D273" s="240" t="s">
        <v>737</v>
      </c>
      <c r="E273" s="216"/>
    </row>
    <row r="274" spans="1:6" x14ac:dyDescent="0.2">
      <c r="A274" s="248" t="s">
        <v>846</v>
      </c>
      <c r="B274" s="253"/>
      <c r="C274" s="249"/>
      <c r="D274" s="240" t="s">
        <v>737</v>
      </c>
      <c r="E274" s="216"/>
    </row>
    <row r="275" spans="1:6" x14ac:dyDescent="0.2">
      <c r="A275" s="248" t="s">
        <v>1073</v>
      </c>
      <c r="B275" s="253"/>
      <c r="C275" s="249"/>
      <c r="D275" s="240"/>
      <c r="E275" s="216"/>
      <c r="F275" s="254"/>
    </row>
    <row r="276" spans="1:6" x14ac:dyDescent="0.2">
      <c r="A276" s="240" t="s">
        <v>847</v>
      </c>
      <c r="B276" s="240"/>
      <c r="C276" s="240"/>
      <c r="D276" s="240" t="s">
        <v>737</v>
      </c>
      <c r="E276" s="216"/>
      <c r="F276" s="241"/>
    </row>
    <row r="277" spans="1:6" x14ac:dyDescent="0.2">
      <c r="A277" s="240" t="s">
        <v>848</v>
      </c>
      <c r="B277" s="255"/>
      <c r="C277" s="240"/>
      <c r="D277" s="240" t="s">
        <v>737</v>
      </c>
      <c r="E277" s="216"/>
      <c r="F277" s="243"/>
    </row>
    <row r="278" spans="1:6" x14ac:dyDescent="0.2">
      <c r="A278" s="240" t="s">
        <v>849</v>
      </c>
      <c r="B278" s="244"/>
      <c r="C278" s="240"/>
      <c r="D278" s="240" t="s">
        <v>737</v>
      </c>
      <c r="E278" s="216"/>
    </row>
    <row r="279" spans="1:6" x14ac:dyDescent="0.2">
      <c r="A279" s="240" t="s">
        <v>850</v>
      </c>
      <c r="B279" s="245"/>
      <c r="C279" s="240"/>
      <c r="D279" s="240" t="s">
        <v>737</v>
      </c>
      <c r="E279" s="216"/>
    </row>
    <row r="280" spans="1:6" x14ac:dyDescent="0.2">
      <c r="A280" s="240" t="s">
        <v>851</v>
      </c>
      <c r="B280" s="246"/>
      <c r="C280" s="240"/>
      <c r="D280" s="240" t="s">
        <v>737</v>
      </c>
      <c r="E280" s="216"/>
    </row>
    <row r="281" spans="1:6" x14ac:dyDescent="0.2">
      <c r="A281" s="240" t="s">
        <v>852</v>
      </c>
      <c r="B281" s="240"/>
      <c r="C281" s="240"/>
      <c r="D281" s="240" t="s">
        <v>737</v>
      </c>
      <c r="E281" s="216"/>
      <c r="F281" s="247"/>
    </row>
    <row r="282" spans="1:6" x14ac:dyDescent="0.2">
      <c r="A282" s="248" t="s">
        <v>853</v>
      </c>
      <c r="B282" s="249"/>
      <c r="C282" s="249"/>
      <c r="D282" s="240" t="s">
        <v>737</v>
      </c>
      <c r="E282" s="216"/>
      <c r="F282" s="250"/>
    </row>
    <row r="283" spans="1:6" x14ac:dyDescent="0.2">
      <c r="A283" s="248" t="s">
        <v>854</v>
      </c>
      <c r="B283" s="251"/>
      <c r="C283" s="249"/>
      <c r="D283" s="240" t="s">
        <v>737</v>
      </c>
      <c r="E283" s="216"/>
    </row>
    <row r="284" spans="1:6" x14ac:dyDescent="0.2">
      <c r="A284" s="248" t="s">
        <v>855</v>
      </c>
      <c r="B284" s="252"/>
      <c r="C284" s="249"/>
      <c r="D284" s="240" t="s">
        <v>737</v>
      </c>
      <c r="E284" s="216"/>
    </row>
    <row r="285" spans="1:6" x14ac:dyDescent="0.2">
      <c r="A285" s="248" t="s">
        <v>856</v>
      </c>
      <c r="B285" s="253"/>
      <c r="C285" s="249"/>
      <c r="D285" s="240" t="s">
        <v>737</v>
      </c>
      <c r="E285" s="216"/>
    </row>
    <row r="286" spans="1:6" x14ac:dyDescent="0.2">
      <c r="A286" s="248" t="s">
        <v>1074</v>
      </c>
      <c r="B286" s="253"/>
      <c r="C286" s="249"/>
      <c r="D286" s="240"/>
      <c r="E286" s="216"/>
      <c r="F286" s="254"/>
    </row>
    <row r="287" spans="1:6" x14ac:dyDescent="0.2">
      <c r="A287" s="240" t="s">
        <v>857</v>
      </c>
      <c r="B287" s="240"/>
      <c r="C287" s="240"/>
      <c r="D287" s="240" t="s">
        <v>737</v>
      </c>
      <c r="E287" s="216"/>
      <c r="F287" s="241"/>
    </row>
    <row r="288" spans="1:6" x14ac:dyDescent="0.2">
      <c r="A288" s="240" t="s">
        <v>858</v>
      </c>
      <c r="B288" s="384"/>
      <c r="C288" s="240"/>
      <c r="D288" s="240" t="s">
        <v>737</v>
      </c>
      <c r="E288" s="216"/>
      <c r="F288" s="243"/>
    </row>
    <row r="289" spans="1:6" x14ac:dyDescent="0.2">
      <c r="A289" s="240" t="s">
        <v>859</v>
      </c>
      <c r="B289" s="244"/>
      <c r="C289" s="240"/>
      <c r="D289" s="240" t="s">
        <v>737</v>
      </c>
      <c r="E289" s="216"/>
    </row>
    <row r="290" spans="1:6" x14ac:dyDescent="0.2">
      <c r="A290" s="240" t="s">
        <v>860</v>
      </c>
      <c r="B290" s="245"/>
      <c r="C290" s="240"/>
      <c r="D290" s="240" t="s">
        <v>737</v>
      </c>
      <c r="E290" s="216"/>
    </row>
    <row r="291" spans="1:6" x14ac:dyDescent="0.2">
      <c r="A291" s="240" t="s">
        <v>861</v>
      </c>
      <c r="B291" s="246"/>
      <c r="C291" s="240"/>
      <c r="D291" s="240" t="s">
        <v>737</v>
      </c>
      <c r="E291" s="216"/>
    </row>
    <row r="292" spans="1:6" x14ac:dyDescent="0.2">
      <c r="A292" s="240" t="s">
        <v>862</v>
      </c>
      <c r="B292" s="240"/>
      <c r="C292" s="240"/>
      <c r="D292" s="240" t="s">
        <v>737</v>
      </c>
      <c r="E292" s="216"/>
      <c r="F292" s="247"/>
    </row>
    <row r="293" spans="1:6" x14ac:dyDescent="0.2">
      <c r="A293" s="248" t="s">
        <v>863</v>
      </c>
      <c r="B293" s="249"/>
      <c r="C293" s="249"/>
      <c r="D293" s="240" t="s">
        <v>737</v>
      </c>
      <c r="E293" s="216"/>
      <c r="F293" s="250"/>
    </row>
    <row r="294" spans="1:6" x14ac:dyDescent="0.2">
      <c r="A294" s="248" t="s">
        <v>864</v>
      </c>
      <c r="B294" s="251"/>
      <c r="C294" s="249"/>
      <c r="D294" s="240" t="s">
        <v>737</v>
      </c>
      <c r="E294" s="216"/>
    </row>
    <row r="295" spans="1:6" x14ac:dyDescent="0.2">
      <c r="A295" s="248" t="s">
        <v>865</v>
      </c>
      <c r="B295" s="252"/>
      <c r="C295" s="249"/>
      <c r="D295" s="240" t="s">
        <v>737</v>
      </c>
      <c r="E295" s="216"/>
    </row>
    <row r="296" spans="1:6" x14ac:dyDescent="0.2">
      <c r="A296" s="248" t="s">
        <v>866</v>
      </c>
      <c r="B296" s="253"/>
      <c r="C296" s="249"/>
      <c r="D296" s="240" t="s">
        <v>737</v>
      </c>
      <c r="E296" s="216"/>
    </row>
    <row r="297" spans="1:6" x14ac:dyDescent="0.2">
      <c r="A297" s="248" t="s">
        <v>1075</v>
      </c>
      <c r="B297" s="253"/>
      <c r="C297" s="249"/>
      <c r="D297" s="240"/>
      <c r="E297" s="216"/>
      <c r="F297" s="254"/>
    </row>
    <row r="298" spans="1:6" x14ac:dyDescent="0.2">
      <c r="A298" s="214" t="s">
        <v>867</v>
      </c>
      <c r="B298" s="256"/>
      <c r="C298" s="214" t="s">
        <v>868</v>
      </c>
      <c r="D298" s="257" t="s">
        <v>1089</v>
      </c>
      <c r="E298" s="216"/>
    </row>
    <row r="299" spans="1:6" x14ac:dyDescent="0.2">
      <c r="A299" s="214" t="s">
        <v>869</v>
      </c>
      <c r="B299" s="256"/>
      <c r="C299" s="214" t="s">
        <v>868</v>
      </c>
      <c r="D299" s="257" t="s">
        <v>1090</v>
      </c>
      <c r="E299" s="216"/>
    </row>
    <row r="300" spans="1:6" x14ac:dyDescent="0.2">
      <c r="A300" s="214" t="s">
        <v>870</v>
      </c>
      <c r="B300" s="256"/>
      <c r="C300" s="214" t="s">
        <v>868</v>
      </c>
      <c r="D300" s="257" t="s">
        <v>1199</v>
      </c>
      <c r="E300" s="215"/>
    </row>
    <row r="301" spans="1:6" x14ac:dyDescent="0.2">
      <c r="A301" s="214" t="s">
        <v>871</v>
      </c>
      <c r="B301" s="256"/>
      <c r="C301" s="214" t="s">
        <v>868</v>
      </c>
      <c r="D301" s="257" t="s">
        <v>1198</v>
      </c>
      <c r="E301" s="215"/>
    </row>
    <row r="302" spans="1:6" x14ac:dyDescent="0.2">
      <c r="A302" s="214" t="s">
        <v>872</v>
      </c>
      <c r="B302" s="256"/>
      <c r="C302" s="214" t="s">
        <v>868</v>
      </c>
      <c r="D302" s="257" t="s">
        <v>1200</v>
      </c>
      <c r="E302" s="215"/>
    </row>
    <row r="303" spans="1:6" x14ac:dyDescent="0.2">
      <c r="A303" s="214" t="s">
        <v>873</v>
      </c>
      <c r="B303" s="256"/>
      <c r="C303" s="214" t="s">
        <v>868</v>
      </c>
      <c r="D303" s="257" t="s">
        <v>1201</v>
      </c>
      <c r="E303" s="215"/>
    </row>
    <row r="304" spans="1:6" x14ac:dyDescent="0.2">
      <c r="A304" s="236" t="s">
        <v>874</v>
      </c>
      <c r="B304" s="256"/>
      <c r="C304" s="214" t="s">
        <v>868</v>
      </c>
      <c r="D304" s="258" t="s">
        <v>1202</v>
      </c>
      <c r="E304" s="215"/>
    </row>
    <row r="305" spans="1:7" x14ac:dyDescent="0.2">
      <c r="A305" s="214" t="s">
        <v>875</v>
      </c>
      <c r="B305" s="256"/>
      <c r="C305" s="214" t="s">
        <v>868</v>
      </c>
      <c r="D305" s="258" t="s">
        <v>1203</v>
      </c>
      <c r="E305" s="215"/>
    </row>
    <row r="306" spans="1:7" x14ac:dyDescent="0.2">
      <c r="A306" s="214" t="s">
        <v>876</v>
      </c>
      <c r="B306" s="256"/>
      <c r="C306" s="214" t="s">
        <v>868</v>
      </c>
      <c r="D306" s="258" t="s">
        <v>1204</v>
      </c>
      <c r="E306" s="215"/>
    </row>
    <row r="307" spans="1:7" x14ac:dyDescent="0.2">
      <c r="A307" s="214" t="s">
        <v>877</v>
      </c>
      <c r="B307" s="256"/>
      <c r="C307" s="214" t="s">
        <v>868</v>
      </c>
      <c r="D307" s="258" t="s">
        <v>1205</v>
      </c>
      <c r="E307" s="215"/>
    </row>
    <row r="308" spans="1:7" x14ac:dyDescent="0.2">
      <c r="A308" s="214" t="s">
        <v>878</v>
      </c>
      <c r="B308" s="256"/>
      <c r="C308" s="214" t="s">
        <v>868</v>
      </c>
      <c r="D308" s="258" t="s">
        <v>1206</v>
      </c>
      <c r="E308" s="215"/>
    </row>
    <row r="309" spans="1:7" x14ac:dyDescent="0.2">
      <c r="A309" s="214" t="s">
        <v>879</v>
      </c>
      <c r="B309" s="403" t="str">
        <f>'Project Information'!H14</f>
        <v/>
      </c>
      <c r="C309" s="214"/>
      <c r="D309" s="214"/>
      <c r="E309" s="215"/>
      <c r="G309" s="406"/>
    </row>
    <row r="310" spans="1:7" x14ac:dyDescent="0.2">
      <c r="A310" s="257" t="s">
        <v>880</v>
      </c>
      <c r="B310" s="259">
        <f>'Development Budget Worksheet'!C14</f>
        <v>0</v>
      </c>
      <c r="C310" s="214" t="s">
        <v>868</v>
      </c>
      <c r="D310" s="214"/>
      <c r="E310" s="215"/>
      <c r="G310" s="254"/>
    </row>
    <row r="311" spans="1:7" x14ac:dyDescent="0.2">
      <c r="A311" s="214" t="s">
        <v>881</v>
      </c>
      <c r="B311" s="260" t="e">
        <f>'Development Budget Worksheet'!J27</f>
        <v>#DIV/0!</v>
      </c>
      <c r="C311" s="214" t="s">
        <v>868</v>
      </c>
      <c r="D311" s="258" t="s">
        <v>882</v>
      </c>
      <c r="E311" s="215"/>
      <c r="G311" s="254"/>
    </row>
    <row r="312" spans="1:7" x14ac:dyDescent="0.2">
      <c r="A312" s="214" t="s">
        <v>883</v>
      </c>
      <c r="B312" s="260">
        <f>'Development Budget Worksheet'!C53</f>
        <v>0</v>
      </c>
      <c r="C312" s="214" t="s">
        <v>868</v>
      </c>
      <c r="D312" s="214"/>
      <c r="E312" s="216" t="s">
        <v>1095</v>
      </c>
      <c r="G312" s="254"/>
    </row>
    <row r="313" spans="1:7" x14ac:dyDescent="0.2">
      <c r="A313" s="214" t="s">
        <v>884</v>
      </c>
      <c r="B313" s="260">
        <f>'Development Budget Worksheet'!J57</f>
        <v>0</v>
      </c>
      <c r="C313" s="214" t="s">
        <v>868</v>
      </c>
      <c r="D313" s="255" t="s">
        <v>1094</v>
      </c>
      <c r="E313" s="216" t="s">
        <v>1093</v>
      </c>
      <c r="G313" s="254"/>
    </row>
    <row r="314" spans="1:7" x14ac:dyDescent="0.2">
      <c r="A314" s="214" t="s">
        <v>885</v>
      </c>
      <c r="B314" s="260">
        <f>'Development Budget Worksheet'!J58</f>
        <v>0</v>
      </c>
      <c r="C314" s="214" t="s">
        <v>868</v>
      </c>
      <c r="D314" s="257" t="s">
        <v>1098</v>
      </c>
      <c r="E314" s="215"/>
      <c r="G314" s="254"/>
    </row>
    <row r="315" spans="1:7" x14ac:dyDescent="0.2">
      <c r="A315" s="214" t="s">
        <v>886</v>
      </c>
      <c r="B315" s="260">
        <f>'Development Budget Worksheet'!J72</f>
        <v>0</v>
      </c>
      <c r="C315" s="214" t="s">
        <v>868</v>
      </c>
      <c r="D315" s="257" t="s">
        <v>1099</v>
      </c>
      <c r="E315" s="215"/>
      <c r="G315" s="254"/>
    </row>
    <row r="316" spans="1:7" x14ac:dyDescent="0.2">
      <c r="A316" s="214" t="s">
        <v>887</v>
      </c>
      <c r="B316" s="260">
        <f>'Development Budget Worksheet'!C117</f>
        <v>0</v>
      </c>
      <c r="C316" s="214" t="s">
        <v>868</v>
      </c>
      <c r="D316" s="257" t="s">
        <v>1100</v>
      </c>
      <c r="E316" s="215"/>
      <c r="G316" s="254"/>
    </row>
    <row r="317" spans="1:7" x14ac:dyDescent="0.2">
      <c r="A317" s="214" t="s">
        <v>888</v>
      </c>
      <c r="B317" s="260">
        <f>'Development Budget Worksheet'!J85</f>
        <v>0</v>
      </c>
      <c r="C317" s="214" t="s">
        <v>868</v>
      </c>
      <c r="D317" s="261" t="s">
        <v>889</v>
      </c>
      <c r="E317" s="215"/>
      <c r="G317" s="254"/>
    </row>
    <row r="318" spans="1:7" x14ac:dyDescent="0.2">
      <c r="A318" s="214" t="s">
        <v>890</v>
      </c>
      <c r="B318" s="262">
        <f>'Housing Pro Forma'!V12</f>
        <v>0</v>
      </c>
      <c r="C318" s="214" t="s">
        <v>868</v>
      </c>
      <c r="D318" s="214"/>
      <c r="E318" s="215"/>
      <c r="G318" s="254"/>
    </row>
    <row r="319" spans="1:7" x14ac:dyDescent="0.2">
      <c r="A319" s="214" t="s">
        <v>891</v>
      </c>
      <c r="B319" s="262">
        <f>'Housing Pro Forma'!E19</f>
        <v>0</v>
      </c>
      <c r="C319" s="214" t="s">
        <v>868</v>
      </c>
      <c r="D319" s="214"/>
      <c r="E319" s="215"/>
      <c r="G319" s="254"/>
    </row>
    <row r="320" spans="1:7" x14ac:dyDescent="0.2">
      <c r="A320" s="214" t="s">
        <v>892</v>
      </c>
      <c r="B320" s="262">
        <f>'Housing Pro Forma'!E52</f>
        <v>0</v>
      </c>
      <c r="C320" s="214" t="s">
        <v>868</v>
      </c>
      <c r="D320" s="214"/>
      <c r="E320" s="215"/>
      <c r="G320" s="254"/>
    </row>
    <row r="321" spans="1:7" x14ac:dyDescent="0.2">
      <c r="A321" s="214" t="s">
        <v>893</v>
      </c>
      <c r="B321" s="262">
        <f>'Housing Pro Forma'!E55</f>
        <v>0</v>
      </c>
      <c r="C321" s="214" t="s">
        <v>868</v>
      </c>
      <c r="D321" s="214"/>
      <c r="E321" s="215"/>
      <c r="G321" s="254"/>
    </row>
    <row r="322" spans="1:7" x14ac:dyDescent="0.2">
      <c r="A322" s="214" t="s">
        <v>894</v>
      </c>
      <c r="B322" s="263">
        <f>'Housing Pro Forma'!E57</f>
        <v>0</v>
      </c>
      <c r="C322" s="214" t="s">
        <v>868</v>
      </c>
      <c r="D322" s="214"/>
      <c r="E322" s="215"/>
      <c r="G322" s="254"/>
    </row>
    <row r="323" spans="1:7" x14ac:dyDescent="0.2">
      <c r="A323" s="257" t="s">
        <v>895</v>
      </c>
      <c r="B323" s="264">
        <f>'Feasibility Analysis Worksheet'!K11</f>
        <v>0</v>
      </c>
      <c r="C323" s="214" t="s">
        <v>868</v>
      </c>
      <c r="D323" s="408" t="s">
        <v>1456</v>
      </c>
      <c r="E323" s="420" t="s">
        <v>1417</v>
      </c>
      <c r="G323" s="254"/>
    </row>
    <row r="324" spans="1:7" x14ac:dyDescent="0.2">
      <c r="A324" s="236" t="s">
        <v>896</v>
      </c>
      <c r="B324" s="265">
        <f>'Housing Pro Forma'!E59+'Housing Pro Forma'!E60</f>
        <v>0</v>
      </c>
      <c r="C324" s="214" t="s">
        <v>868</v>
      </c>
      <c r="D324" s="258" t="s">
        <v>897</v>
      </c>
      <c r="E324" s="258" t="s">
        <v>1103</v>
      </c>
      <c r="G324" s="254"/>
    </row>
    <row r="325" spans="1:7" x14ac:dyDescent="0.2">
      <c r="A325" s="214" t="s">
        <v>898</v>
      </c>
      <c r="B325" s="263">
        <f>'Housing Pro Forma'!E61</f>
        <v>0</v>
      </c>
      <c r="C325" s="214" t="s">
        <v>868</v>
      </c>
      <c r="D325" s="214"/>
      <c r="E325" s="258"/>
      <c r="G325" s="254"/>
    </row>
    <row r="326" spans="1:7" x14ac:dyDescent="0.2">
      <c r="A326" s="257" t="s">
        <v>899</v>
      </c>
      <c r="B326" s="264"/>
      <c r="C326" s="214" t="s">
        <v>868</v>
      </c>
      <c r="D326" s="214"/>
      <c r="E326" s="258" t="s">
        <v>1103</v>
      </c>
      <c r="G326" s="406"/>
    </row>
    <row r="327" spans="1:7" x14ac:dyDescent="0.2">
      <c r="A327" s="214" t="s">
        <v>900</v>
      </c>
      <c r="B327" s="259" t="e">
        <f>'Project Information'!H6</f>
        <v>#DIV/0!</v>
      </c>
      <c r="C327" s="214" t="s">
        <v>868</v>
      </c>
      <c r="D327" s="214"/>
      <c r="E327" s="258" t="s">
        <v>1103</v>
      </c>
      <c r="G327" s="254"/>
    </row>
    <row r="328" spans="1:7" x14ac:dyDescent="0.2">
      <c r="A328" s="214" t="s">
        <v>901</v>
      </c>
      <c r="B328" s="259"/>
      <c r="C328" s="214" t="s">
        <v>868</v>
      </c>
      <c r="D328" s="214"/>
      <c r="E328" s="258" t="s">
        <v>1103</v>
      </c>
      <c r="G328" s="254"/>
    </row>
    <row r="329" spans="1:7" x14ac:dyDescent="0.2">
      <c r="A329" s="214" t="s">
        <v>902</v>
      </c>
      <c r="B329" s="259"/>
      <c r="C329" s="214" t="s">
        <v>868</v>
      </c>
      <c r="D329" s="214"/>
      <c r="E329" s="258" t="s">
        <v>1103</v>
      </c>
      <c r="G329" s="254"/>
    </row>
    <row r="330" spans="1:7" x14ac:dyDescent="0.2">
      <c r="A330" s="257" t="s">
        <v>903</v>
      </c>
      <c r="B330" s="259">
        <f>'Development Budget Worksheet'!J121</f>
        <v>0</v>
      </c>
      <c r="C330" s="214" t="s">
        <v>868</v>
      </c>
      <c r="D330" s="214"/>
      <c r="E330" s="216" t="s">
        <v>1103</v>
      </c>
      <c r="G330" s="254"/>
    </row>
    <row r="331" spans="1:7" x14ac:dyDescent="0.2">
      <c r="A331" s="214" t="s">
        <v>904</v>
      </c>
      <c r="B331" s="259" t="e">
        <f>'Development Budget Worksheet'!J123</f>
        <v>#DIV/0!</v>
      </c>
      <c r="C331" s="214" t="s">
        <v>868</v>
      </c>
      <c r="D331" s="374" t="s">
        <v>1339</v>
      </c>
      <c r="E331" s="215"/>
    </row>
    <row r="332" spans="1:7" x14ac:dyDescent="0.2">
      <c r="A332" s="214" t="s">
        <v>905</v>
      </c>
      <c r="B332" s="259" t="e">
        <f>'Development Budget Worksheet'!J14</f>
        <v>#DIV/0!</v>
      </c>
      <c r="C332" s="214" t="s">
        <v>868</v>
      </c>
      <c r="D332" s="214"/>
      <c r="E332" s="215"/>
    </row>
    <row r="333" spans="1:7" x14ac:dyDescent="0.2">
      <c r="A333" s="214" t="s">
        <v>906</v>
      </c>
      <c r="B333" s="259">
        <f>'Development Budget Worksheet'!J31</f>
        <v>0</v>
      </c>
      <c r="C333" s="214" t="s">
        <v>868</v>
      </c>
      <c r="D333" s="214"/>
      <c r="E333" s="215"/>
      <c r="G333" s="254"/>
    </row>
    <row r="334" spans="1:7" x14ac:dyDescent="0.2">
      <c r="A334" s="214" t="s">
        <v>907</v>
      </c>
      <c r="B334" s="259">
        <f>'Development Budget Worksheet'!J30</f>
        <v>0</v>
      </c>
      <c r="C334" s="214" t="s">
        <v>868</v>
      </c>
      <c r="D334" s="214"/>
      <c r="E334" s="215"/>
      <c r="G334" s="254"/>
    </row>
    <row r="335" spans="1:7" x14ac:dyDescent="0.2">
      <c r="A335" s="214" t="s">
        <v>908</v>
      </c>
      <c r="B335" s="259" t="e">
        <f>'Development Budget Worksheet'!J124</f>
        <v>#DIV/0!</v>
      </c>
      <c r="C335" s="214" t="s">
        <v>868</v>
      </c>
      <c r="D335" s="374" t="s">
        <v>1340</v>
      </c>
      <c r="E335" s="215"/>
      <c r="G335" s="254"/>
    </row>
    <row r="336" spans="1:7" x14ac:dyDescent="0.2">
      <c r="A336" s="214" t="s">
        <v>909</v>
      </c>
      <c r="B336" s="266" t="e">
        <f>'Project Information'!H9</f>
        <v>#DIV/0!</v>
      </c>
      <c r="C336" s="214" t="s">
        <v>868</v>
      </c>
      <c r="D336" s="257" t="s">
        <v>1109</v>
      </c>
      <c r="E336" s="215"/>
      <c r="G336" s="254"/>
    </row>
    <row r="337" spans="1:7" x14ac:dyDescent="0.2">
      <c r="A337" s="214" t="s">
        <v>910</v>
      </c>
      <c r="B337" s="267" t="e">
        <f>'Project Information'!H8</f>
        <v>#DIV/0!</v>
      </c>
      <c r="C337" s="214" t="s">
        <v>868</v>
      </c>
      <c r="D337" s="214"/>
      <c r="E337" s="215"/>
      <c r="G337" s="254"/>
    </row>
    <row r="338" spans="1:7" x14ac:dyDescent="0.2">
      <c r="A338" s="257" t="s">
        <v>911</v>
      </c>
      <c r="B338" s="268">
        <f>'Feasibility Analysis Worksheet'!K15</f>
        <v>0</v>
      </c>
      <c r="C338" s="214" t="s">
        <v>868</v>
      </c>
      <c r="D338" s="257"/>
      <c r="E338" s="215"/>
      <c r="F338" s="269" t="s">
        <v>1185</v>
      </c>
    </row>
    <row r="339" spans="1:7" x14ac:dyDescent="0.2">
      <c r="A339" s="214" t="s">
        <v>912</v>
      </c>
      <c r="B339" s="267" t="e">
        <f>'Development Budget Worksheet'!J33</f>
        <v>#DIV/0!</v>
      </c>
      <c r="C339" s="214" t="s">
        <v>868</v>
      </c>
      <c r="D339" s="214"/>
      <c r="E339" s="215"/>
      <c r="F339" s="269" t="s">
        <v>1185</v>
      </c>
    </row>
    <row r="340" spans="1:7" x14ac:dyDescent="0.2">
      <c r="A340" s="214" t="s">
        <v>913</v>
      </c>
      <c r="B340" s="267" t="e">
        <f>'Development Budget Worksheet'!J34</f>
        <v>#DIV/0!</v>
      </c>
      <c r="C340" s="214" t="s">
        <v>868</v>
      </c>
      <c r="D340" s="214"/>
      <c r="E340" s="215"/>
    </row>
    <row r="341" spans="1:7" x14ac:dyDescent="0.2">
      <c r="A341" s="214" t="s">
        <v>914</v>
      </c>
      <c r="B341" s="267" t="e">
        <f>'Development Budget Worksheet'!J35</f>
        <v>#DIV/0!</v>
      </c>
      <c r="C341" s="214" t="s">
        <v>868</v>
      </c>
      <c r="D341" s="214"/>
      <c r="E341" s="215"/>
      <c r="F341" s="269" t="s">
        <v>1185</v>
      </c>
    </row>
    <row r="342" spans="1:7" x14ac:dyDescent="0.2">
      <c r="A342" s="236" t="s">
        <v>915</v>
      </c>
      <c r="B342" s="267">
        <f>'Feasibility Analysis Worksheet'!E24</f>
        <v>0</v>
      </c>
      <c r="C342" s="214" t="s">
        <v>868</v>
      </c>
      <c r="D342" s="374" t="s">
        <v>1411</v>
      </c>
      <c r="E342" s="420" t="s">
        <v>1417</v>
      </c>
    </row>
    <row r="343" spans="1:7" x14ac:dyDescent="0.2">
      <c r="A343" s="270" t="s">
        <v>992</v>
      </c>
      <c r="B343" s="259" t="str">
        <f>'Housing Pro Forma'!D46</f>
        <v/>
      </c>
      <c r="C343" s="214"/>
      <c r="D343" s="214"/>
      <c r="E343" s="215"/>
      <c r="G343" s="406"/>
    </row>
    <row r="344" spans="1:7" x14ac:dyDescent="0.2">
      <c r="A344" s="214" t="s">
        <v>917</v>
      </c>
      <c r="B344" s="271" t="e">
        <f>'Services Pro Forma'!R43</f>
        <v>#DIV/0!</v>
      </c>
      <c r="C344" s="214"/>
      <c r="D344" s="257"/>
      <c r="E344" s="215"/>
      <c r="G344" s="254"/>
    </row>
    <row r="345" spans="1:7" x14ac:dyDescent="0.2">
      <c r="A345" s="214" t="s">
        <v>918</v>
      </c>
      <c r="B345" s="266">
        <f>'Housing Pro Forma'!C22</f>
        <v>0</v>
      </c>
      <c r="C345" s="214"/>
      <c r="D345" s="214" t="s">
        <v>919</v>
      </c>
      <c r="E345" s="215"/>
    </row>
    <row r="346" spans="1:7" x14ac:dyDescent="0.2">
      <c r="A346" s="214" t="s">
        <v>920</v>
      </c>
      <c r="B346" s="267">
        <f>'Housing Pro Forma'!E6</f>
        <v>0</v>
      </c>
      <c r="C346" s="214" t="s">
        <v>868</v>
      </c>
      <c r="D346" s="257" t="s">
        <v>1116</v>
      </c>
      <c r="E346" s="215"/>
    </row>
    <row r="347" spans="1:7" x14ac:dyDescent="0.2">
      <c r="A347" s="214" t="s">
        <v>921</v>
      </c>
      <c r="B347" s="272">
        <f>'Feasibility Analysis Worksheet'!E19</f>
        <v>0</v>
      </c>
      <c r="C347" s="214" t="s">
        <v>868</v>
      </c>
      <c r="D347" s="214" t="s">
        <v>1117</v>
      </c>
      <c r="E347" s="215"/>
    </row>
    <row r="348" spans="1:7" x14ac:dyDescent="0.2">
      <c r="A348" s="257" t="s">
        <v>922</v>
      </c>
      <c r="B348" s="214"/>
      <c r="C348" s="214" t="s">
        <v>868</v>
      </c>
      <c r="D348" s="214"/>
      <c r="E348" s="215"/>
      <c r="G348" s="254"/>
    </row>
    <row r="349" spans="1:7" x14ac:dyDescent="0.2">
      <c r="A349" s="236" t="s">
        <v>923</v>
      </c>
      <c r="B349" s="259">
        <f>'Feasibility Analysis Worksheet'!E20</f>
        <v>0</v>
      </c>
      <c r="C349" s="214" t="s">
        <v>868</v>
      </c>
      <c r="D349" s="374" t="s">
        <v>1449</v>
      </c>
      <c r="E349" s="420" t="s">
        <v>1417</v>
      </c>
    </row>
    <row r="350" spans="1:7" x14ac:dyDescent="0.2">
      <c r="A350" s="214" t="s">
        <v>924</v>
      </c>
      <c r="B350" s="267">
        <f>'Housing Pro Forma'!L7</f>
        <v>0.02</v>
      </c>
      <c r="C350" s="214" t="s">
        <v>868</v>
      </c>
      <c r="D350" s="257" t="s">
        <v>1118</v>
      </c>
      <c r="E350" s="215"/>
    </row>
    <row r="351" spans="1:7" x14ac:dyDescent="0.2">
      <c r="A351" s="214" t="s">
        <v>925</v>
      </c>
      <c r="B351" s="267">
        <f>'Housing Pro Forma'!O7</f>
        <v>0.03</v>
      </c>
      <c r="C351" s="214" t="s">
        <v>868</v>
      </c>
      <c r="D351" s="257" t="s">
        <v>1118</v>
      </c>
      <c r="E351" s="215"/>
    </row>
    <row r="352" spans="1:7" x14ac:dyDescent="0.2">
      <c r="A352" s="214" t="s">
        <v>926</v>
      </c>
      <c r="B352" s="214">
        <v>0</v>
      </c>
      <c r="C352" s="214"/>
      <c r="D352" s="214" t="s">
        <v>1119</v>
      </c>
      <c r="E352" s="215"/>
      <c r="F352" s="273" t="s">
        <v>1186</v>
      </c>
      <c r="G352" s="254"/>
    </row>
    <row r="353" spans="1:7" x14ac:dyDescent="0.2">
      <c r="A353" s="274" t="s">
        <v>927</v>
      </c>
      <c r="B353" s="260" t="e">
        <f>'Development Budget Worksheet'!J29</f>
        <v>#DIV/0!</v>
      </c>
      <c r="C353" s="214" t="s">
        <v>868</v>
      </c>
      <c r="D353" s="275" t="s">
        <v>1125</v>
      </c>
      <c r="E353" s="215"/>
    </row>
    <row r="354" spans="1:7" x14ac:dyDescent="0.2">
      <c r="A354" s="214" t="s">
        <v>928</v>
      </c>
      <c r="B354" s="259" t="e">
        <f>'Development Budget Worksheet'!J28</f>
        <v>#DIV/0!</v>
      </c>
      <c r="C354" s="214" t="s">
        <v>868</v>
      </c>
      <c r="D354" s="214" t="s">
        <v>1126</v>
      </c>
      <c r="E354" s="215"/>
    </row>
    <row r="355" spans="1:7" x14ac:dyDescent="0.2">
      <c r="A355" s="226" t="s">
        <v>929</v>
      </c>
      <c r="B355" s="260">
        <f>'Development Budget Worksheet'!C94</f>
        <v>0</v>
      </c>
      <c r="C355" s="226" t="s">
        <v>868</v>
      </c>
      <c r="D355" s="276" t="s">
        <v>930</v>
      </c>
      <c r="E355" s="215"/>
      <c r="G355" s="407"/>
    </row>
    <row r="356" spans="1:7" x14ac:dyDescent="0.2">
      <c r="A356" s="226" t="s">
        <v>931</v>
      </c>
      <c r="B356" s="260">
        <f>'Development Budget Worksheet'!C108</f>
        <v>0</v>
      </c>
      <c r="C356" s="226" t="s">
        <v>868</v>
      </c>
      <c r="D356" s="226"/>
      <c r="E356" s="215"/>
    </row>
    <row r="357" spans="1:7" x14ac:dyDescent="0.2">
      <c r="A357" s="226" t="s">
        <v>932</v>
      </c>
      <c r="B357" s="260">
        <f>'Development Budget Worksheet'!C119</f>
        <v>0</v>
      </c>
      <c r="C357" s="226"/>
      <c r="D357" s="276" t="s">
        <v>1137</v>
      </c>
      <c r="E357" s="215"/>
    </row>
    <row r="358" spans="1:7" x14ac:dyDescent="0.2">
      <c r="A358" s="226" t="s">
        <v>933</v>
      </c>
      <c r="B358" s="277"/>
      <c r="C358" s="226"/>
      <c r="D358" s="226"/>
      <c r="E358" s="215"/>
    </row>
    <row r="359" spans="1:7" x14ac:dyDescent="0.2">
      <c r="A359" s="226" t="s">
        <v>934</v>
      </c>
      <c r="B359" s="277">
        <f>'Project Information'!H10</f>
        <v>0</v>
      </c>
      <c r="C359" s="226"/>
      <c r="D359" s="226" t="s">
        <v>1129</v>
      </c>
      <c r="E359" s="215"/>
    </row>
    <row r="360" spans="1:7" x14ac:dyDescent="0.2">
      <c r="A360" s="226" t="s">
        <v>935</v>
      </c>
      <c r="B360" s="260">
        <f>'Project Information'!C15</f>
        <v>0</v>
      </c>
      <c r="C360" s="226"/>
      <c r="D360" s="278" t="s">
        <v>1221</v>
      </c>
      <c r="E360" s="215"/>
    </row>
    <row r="361" spans="1:7" x14ac:dyDescent="0.2">
      <c r="A361" s="226" t="s">
        <v>936</v>
      </c>
      <c r="B361" s="279" t="e">
        <f>'Development Budget Worksheet'!J29</f>
        <v>#DIV/0!</v>
      </c>
      <c r="C361" s="226"/>
      <c r="D361" s="276" t="s">
        <v>1130</v>
      </c>
      <c r="E361" s="215"/>
    </row>
    <row r="362" spans="1:7" x14ac:dyDescent="0.2">
      <c r="A362" s="226" t="s">
        <v>937</v>
      </c>
      <c r="B362" s="280"/>
      <c r="C362" s="226"/>
      <c r="D362" s="226"/>
      <c r="E362" s="215"/>
    </row>
    <row r="363" spans="1:7" x14ac:dyDescent="0.2">
      <c r="A363" s="226" t="s">
        <v>938</v>
      </c>
      <c r="B363" s="280"/>
      <c r="C363" s="226"/>
      <c r="D363" s="226"/>
      <c r="E363" s="215"/>
    </row>
    <row r="364" spans="1:7" x14ac:dyDescent="0.2">
      <c r="A364" s="276" t="s">
        <v>939</v>
      </c>
      <c r="B364" s="260">
        <f>'Development Budget Worksheet'!J12</f>
        <v>0</v>
      </c>
      <c r="C364" s="214"/>
      <c r="D364" s="214"/>
      <c r="E364" s="215"/>
      <c r="G364" s="254"/>
    </row>
    <row r="365" spans="1:7" x14ac:dyDescent="0.2">
      <c r="A365" s="226" t="s">
        <v>940</v>
      </c>
      <c r="B365" s="260">
        <f>'Development Budget Worksheet'!C113</f>
        <v>0</v>
      </c>
      <c r="C365" s="226"/>
      <c r="D365" s="276" t="s">
        <v>1132</v>
      </c>
      <c r="E365" s="215"/>
    </row>
    <row r="366" spans="1:7" x14ac:dyDescent="0.2">
      <c r="A366" s="226" t="s">
        <v>941</v>
      </c>
      <c r="B366" s="260">
        <f>'Development Budget Worksheet'!C112</f>
        <v>0</v>
      </c>
      <c r="C366" s="226"/>
      <c r="D366" s="276" t="s">
        <v>1133</v>
      </c>
      <c r="E366" s="215"/>
    </row>
    <row r="367" spans="1:7" x14ac:dyDescent="0.2">
      <c r="A367" s="226" t="s">
        <v>942</v>
      </c>
      <c r="B367" s="260">
        <f>'Development Budget Worksheet'!C19</f>
        <v>0</v>
      </c>
      <c r="C367" s="226"/>
      <c r="D367" s="226"/>
      <c r="E367" s="215"/>
      <c r="G367" s="254"/>
    </row>
    <row r="368" spans="1:7" x14ac:dyDescent="0.2">
      <c r="A368" s="226" t="s">
        <v>943</v>
      </c>
      <c r="B368" s="281"/>
      <c r="C368" s="226"/>
      <c r="D368" s="276" t="s">
        <v>1134</v>
      </c>
      <c r="E368" s="215"/>
      <c r="G368" s="406"/>
    </row>
    <row r="369" spans="1:7" x14ac:dyDescent="0.2">
      <c r="A369" s="226" t="s">
        <v>945</v>
      </c>
      <c r="B369" s="281"/>
      <c r="C369" s="214"/>
      <c r="D369" s="257" t="s">
        <v>1135</v>
      </c>
      <c r="E369" s="215"/>
      <c r="G369" s="406"/>
    </row>
    <row r="370" spans="1:7" x14ac:dyDescent="0.2">
      <c r="A370" s="276" t="s">
        <v>946</v>
      </c>
      <c r="B370" s="259">
        <f>'Development Budget Worksheet'!C33</f>
        <v>0</v>
      </c>
      <c r="C370" s="214"/>
      <c r="D370" s="214"/>
      <c r="E370" s="215"/>
    </row>
    <row r="371" spans="1:7" x14ac:dyDescent="0.2">
      <c r="A371" s="276" t="s">
        <v>947</v>
      </c>
      <c r="B371" s="259">
        <f>'Development Budget Worksheet'!C18</f>
        <v>0</v>
      </c>
      <c r="C371" s="214"/>
      <c r="D371" s="214"/>
      <c r="E371" s="215"/>
      <c r="G371" s="254"/>
    </row>
    <row r="372" spans="1:7" x14ac:dyDescent="0.2">
      <c r="A372" s="276" t="s">
        <v>948</v>
      </c>
      <c r="B372" s="259">
        <f>'Development Budget Worksheet'!C34</f>
        <v>0</v>
      </c>
      <c r="C372" s="214"/>
      <c r="D372" s="214"/>
      <c r="E372" s="215"/>
    </row>
    <row r="373" spans="1:7" x14ac:dyDescent="0.2">
      <c r="A373" s="276" t="s">
        <v>949</v>
      </c>
      <c r="B373" s="259">
        <f>'Development Budget Worksheet'!C35</f>
        <v>0</v>
      </c>
      <c r="C373" s="214"/>
      <c r="D373" s="214"/>
      <c r="E373" s="215"/>
    </row>
    <row r="374" spans="1:7" x14ac:dyDescent="0.2">
      <c r="A374" s="226" t="s">
        <v>950</v>
      </c>
      <c r="B374" s="259">
        <f>'Development Budget Worksheet'!C36</f>
        <v>0</v>
      </c>
      <c r="C374" s="214"/>
      <c r="D374" s="257" t="s">
        <v>951</v>
      </c>
      <c r="E374" s="215"/>
    </row>
    <row r="375" spans="1:7" x14ac:dyDescent="0.2">
      <c r="A375" s="226" t="s">
        <v>952</v>
      </c>
      <c r="B375" s="263">
        <f>'Sources of Funds Worksheet'!D20</f>
        <v>0</v>
      </c>
      <c r="C375" s="214"/>
      <c r="D375" s="214"/>
      <c r="E375" s="215"/>
    </row>
    <row r="376" spans="1:7" x14ac:dyDescent="0.2">
      <c r="A376" s="276" t="s">
        <v>953</v>
      </c>
      <c r="B376" s="259">
        <f>'Development Budget Worksheet'!C119</f>
        <v>0</v>
      </c>
      <c r="C376" s="214"/>
      <c r="D376" s="257" t="s">
        <v>1136</v>
      </c>
      <c r="E376" s="215"/>
    </row>
    <row r="377" spans="1:7" x14ac:dyDescent="0.2">
      <c r="A377" s="226" t="s">
        <v>954</v>
      </c>
      <c r="B377" s="279" t="e">
        <f>'Development Budget Worksheet'!J28</f>
        <v>#DIV/0!</v>
      </c>
      <c r="C377" s="226"/>
      <c r="D377" s="276" t="s">
        <v>1124</v>
      </c>
      <c r="E377" s="215"/>
    </row>
    <row r="378" spans="1:7" x14ac:dyDescent="0.2">
      <c r="A378" s="226" t="s">
        <v>955</v>
      </c>
      <c r="B378" s="280"/>
      <c r="C378" s="226"/>
      <c r="D378" s="278" t="s">
        <v>956</v>
      </c>
      <c r="E378" s="215" t="s">
        <v>1127</v>
      </c>
      <c r="G378" s="406"/>
    </row>
    <row r="379" spans="1:7" x14ac:dyDescent="0.2">
      <c r="A379" s="226" t="s">
        <v>957</v>
      </c>
      <c r="B379" s="282">
        <f>'Development Budget Worksheet'!C111</f>
        <v>0</v>
      </c>
      <c r="C379" s="226"/>
      <c r="D379" s="276" t="s">
        <v>958</v>
      </c>
      <c r="E379" s="216"/>
    </row>
    <row r="380" spans="1:7" x14ac:dyDescent="0.2">
      <c r="A380" s="226" t="s">
        <v>959</v>
      </c>
      <c r="B380" s="282">
        <f>'Feasibility Analysis Worksheet'!E19</f>
        <v>0</v>
      </c>
      <c r="C380" s="226"/>
      <c r="D380" s="214" t="s">
        <v>1117</v>
      </c>
      <c r="E380" s="215"/>
    </row>
    <row r="381" spans="1:7" x14ac:dyDescent="0.2">
      <c r="A381" s="226" t="s">
        <v>960</v>
      </c>
      <c r="B381" s="283">
        <f>'Feasibility Analysis Worksheet'!C7</f>
        <v>0</v>
      </c>
      <c r="C381" s="226" t="s">
        <v>868</v>
      </c>
      <c r="D381" s="226" t="s">
        <v>961</v>
      </c>
      <c r="E381" s="215"/>
    </row>
    <row r="382" spans="1:7" x14ac:dyDescent="0.2">
      <c r="A382" s="276" t="s">
        <v>962</v>
      </c>
      <c r="B382" s="282">
        <f>'Housing Pro Forma'!E64</f>
        <v>0</v>
      </c>
      <c r="C382" s="226"/>
      <c r="D382" s="276" t="s">
        <v>1138</v>
      </c>
      <c r="E382" s="215"/>
    </row>
    <row r="383" spans="1:7" x14ac:dyDescent="0.2">
      <c r="A383" s="226" t="s">
        <v>963</v>
      </c>
      <c r="B383" s="266">
        <f>'Housing Pro Forma'!V57</f>
        <v>0</v>
      </c>
      <c r="C383" s="226"/>
      <c r="D383" s="276" t="s">
        <v>1139</v>
      </c>
      <c r="E383" s="215"/>
    </row>
    <row r="384" spans="1:7" x14ac:dyDescent="0.2">
      <c r="A384" s="226" t="s">
        <v>964</v>
      </c>
      <c r="B384" s="260">
        <f>'Housing Pro Forma'!V48</f>
        <v>0</v>
      </c>
      <c r="C384" s="226"/>
      <c r="D384" s="276" t="s">
        <v>1140</v>
      </c>
      <c r="E384" s="215"/>
    </row>
    <row r="385" spans="1:7" x14ac:dyDescent="0.2">
      <c r="A385" s="226" t="s">
        <v>965</v>
      </c>
      <c r="B385" s="266"/>
      <c r="C385" s="226"/>
      <c r="D385" s="226"/>
      <c r="E385" s="215" t="s">
        <v>1127</v>
      </c>
      <c r="G385" s="409"/>
    </row>
    <row r="386" spans="1:7" x14ac:dyDescent="0.2">
      <c r="A386" s="226" t="s">
        <v>966</v>
      </c>
      <c r="B386" s="284">
        <f>'Sources of Funds Worksheet'!D10</f>
        <v>0</v>
      </c>
      <c r="C386" s="226"/>
      <c r="D386" s="226"/>
      <c r="E386" s="215"/>
    </row>
    <row r="387" spans="1:7" x14ac:dyDescent="0.2">
      <c r="A387" s="226" t="s">
        <v>967</v>
      </c>
      <c r="B387" s="277">
        <f>'Housing Pro Forma'!V53</f>
        <v>0</v>
      </c>
      <c r="C387" s="226"/>
      <c r="D387" s="226"/>
      <c r="E387" s="215"/>
    </row>
    <row r="388" spans="1:7" x14ac:dyDescent="0.2">
      <c r="A388" s="226" t="s">
        <v>968</v>
      </c>
      <c r="B388" s="256" t="str">
        <f>'Housing Pro Forma'!V55</f>
        <v>TRUE</v>
      </c>
      <c r="C388" s="226"/>
      <c r="D388" s="226"/>
      <c r="E388" s="215"/>
    </row>
    <row r="389" spans="1:7" x14ac:dyDescent="0.2">
      <c r="A389" s="276" t="s">
        <v>969</v>
      </c>
      <c r="B389" s="277"/>
      <c r="C389" s="226"/>
      <c r="D389" s="276" t="s">
        <v>1146</v>
      </c>
      <c r="E389" s="215" t="s">
        <v>1127</v>
      </c>
      <c r="G389" s="406"/>
    </row>
    <row r="390" spans="1:7" x14ac:dyDescent="0.2">
      <c r="A390" s="276" t="s">
        <v>970</v>
      </c>
      <c r="B390" s="277"/>
      <c r="C390" s="226"/>
      <c r="D390" s="276" t="s">
        <v>1146</v>
      </c>
      <c r="E390" s="215" t="s">
        <v>1127</v>
      </c>
      <c r="G390" s="406"/>
    </row>
    <row r="391" spans="1:7" x14ac:dyDescent="0.2">
      <c r="A391" s="276" t="s">
        <v>971</v>
      </c>
      <c r="B391" s="277"/>
      <c r="C391" s="226"/>
      <c r="D391" s="276" t="s">
        <v>1147</v>
      </c>
      <c r="E391" s="215" t="s">
        <v>1127</v>
      </c>
      <c r="G391" s="406"/>
    </row>
    <row r="392" spans="1:7" x14ac:dyDescent="0.2">
      <c r="A392" s="276" t="s">
        <v>972</v>
      </c>
      <c r="B392" s="266"/>
      <c r="C392" s="226"/>
      <c r="D392" s="276" t="s">
        <v>1147</v>
      </c>
      <c r="E392" s="215" t="s">
        <v>1127</v>
      </c>
      <c r="G392" s="406"/>
    </row>
    <row r="393" spans="1:7" x14ac:dyDescent="0.2">
      <c r="A393" s="226" t="s">
        <v>973</v>
      </c>
      <c r="B393" s="285"/>
      <c r="C393" s="226"/>
      <c r="D393" s="276" t="s">
        <v>1146</v>
      </c>
      <c r="E393" s="215" t="s">
        <v>1127</v>
      </c>
      <c r="G393" s="406"/>
    </row>
    <row r="394" spans="1:7" x14ac:dyDescent="0.2">
      <c r="A394" s="226" t="s">
        <v>974</v>
      </c>
      <c r="B394" s="285"/>
      <c r="C394" s="226"/>
      <c r="D394" s="276" t="s">
        <v>1146</v>
      </c>
      <c r="E394" s="215" t="s">
        <v>1127</v>
      </c>
      <c r="G394" s="406"/>
    </row>
    <row r="395" spans="1:7" x14ac:dyDescent="0.2">
      <c r="A395" s="226" t="s">
        <v>975</v>
      </c>
      <c r="B395" s="285"/>
      <c r="C395" s="226"/>
      <c r="D395" s="276" t="s">
        <v>1147</v>
      </c>
      <c r="E395" s="215" t="s">
        <v>1127</v>
      </c>
      <c r="G395" s="406"/>
    </row>
    <row r="396" spans="1:7" x14ac:dyDescent="0.2">
      <c r="A396" s="226" t="s">
        <v>976</v>
      </c>
      <c r="B396" s="266"/>
      <c r="C396" s="226"/>
      <c r="D396" s="276" t="s">
        <v>1147</v>
      </c>
      <c r="E396" s="215" t="s">
        <v>1127</v>
      </c>
      <c r="G396" s="406"/>
    </row>
    <row r="397" spans="1:7" x14ac:dyDescent="0.2">
      <c r="A397" s="226" t="s">
        <v>977</v>
      </c>
      <c r="B397" s="281"/>
      <c r="C397" s="226"/>
      <c r="D397" s="226" t="s">
        <v>944</v>
      </c>
      <c r="E397" s="215" t="s">
        <v>1127</v>
      </c>
      <c r="G397" s="406"/>
    </row>
    <row r="398" spans="1:7" x14ac:dyDescent="0.2">
      <c r="A398" s="226" t="s">
        <v>978</v>
      </c>
      <c r="B398" s="280">
        <f>'Project Information'!H7</f>
        <v>0</v>
      </c>
      <c r="C398" s="236"/>
      <c r="D398" s="236"/>
      <c r="E398" s="215"/>
    </row>
    <row r="399" spans="1:7" x14ac:dyDescent="0.2">
      <c r="A399" s="226" t="s">
        <v>979</v>
      </c>
      <c r="B399" s="259"/>
      <c r="C399" s="214"/>
      <c r="D399" s="214"/>
      <c r="E399" s="216" t="s">
        <v>1127</v>
      </c>
      <c r="G399" s="406"/>
    </row>
    <row r="400" spans="1:7" x14ac:dyDescent="0.2">
      <c r="A400" s="226" t="s">
        <v>980</v>
      </c>
      <c r="B400" s="286">
        <f>'Project Information'!C13</f>
        <v>0</v>
      </c>
      <c r="C400" s="214"/>
      <c r="D400" s="214" t="s">
        <v>1150</v>
      </c>
      <c r="E400" s="215"/>
    </row>
    <row r="401" spans="1:7" x14ac:dyDescent="0.2">
      <c r="A401" s="226" t="s">
        <v>981</v>
      </c>
      <c r="B401" s="263"/>
      <c r="C401" s="214"/>
      <c r="D401" s="214" t="s">
        <v>1151</v>
      </c>
      <c r="E401" s="215"/>
    </row>
    <row r="402" spans="1:7" x14ac:dyDescent="0.2">
      <c r="A402" s="226" t="s">
        <v>982</v>
      </c>
      <c r="B402" s="259">
        <f>'Development Budget Worksheet'!D121</f>
        <v>0</v>
      </c>
      <c r="C402" s="214"/>
      <c r="D402" s="214" t="s">
        <v>1151</v>
      </c>
      <c r="E402" s="215"/>
    </row>
    <row r="403" spans="1:7" x14ac:dyDescent="0.2">
      <c r="A403" s="276" t="s">
        <v>983</v>
      </c>
      <c r="B403" s="259">
        <f>'Development Budget Worksheet'!C111</f>
        <v>0</v>
      </c>
      <c r="C403" s="214"/>
      <c r="D403" s="214"/>
      <c r="E403" s="215"/>
    </row>
    <row r="404" spans="1:7" x14ac:dyDescent="0.2">
      <c r="A404" s="226" t="s">
        <v>984</v>
      </c>
      <c r="B404" s="262">
        <f>'Housing Pro Forma'!E46</f>
        <v>0</v>
      </c>
      <c r="C404" s="214"/>
      <c r="D404" s="214"/>
      <c r="E404" s="215"/>
    </row>
    <row r="405" spans="1:7" x14ac:dyDescent="0.2">
      <c r="A405" s="226" t="s">
        <v>985</v>
      </c>
      <c r="B405" s="262">
        <f>'Housing Pro Forma'!E49</f>
        <v>0</v>
      </c>
      <c r="C405" s="214"/>
      <c r="D405" s="214"/>
      <c r="E405" s="215"/>
    </row>
    <row r="406" spans="1:7" x14ac:dyDescent="0.2">
      <c r="A406" s="226" t="s">
        <v>986</v>
      </c>
      <c r="B406" s="235"/>
      <c r="C406" s="214"/>
      <c r="D406" s="214"/>
      <c r="E406" s="215"/>
      <c r="G406" s="254"/>
    </row>
    <row r="407" spans="1:7" x14ac:dyDescent="0.2">
      <c r="A407" s="276" t="s">
        <v>987</v>
      </c>
      <c r="B407" s="259">
        <f>'Development Budget Worksheet'!C115</f>
        <v>0</v>
      </c>
      <c r="C407" s="214"/>
      <c r="D407" s="257" t="s">
        <v>1224</v>
      </c>
      <c r="E407" s="215"/>
    </row>
    <row r="408" spans="1:7" x14ac:dyDescent="0.2">
      <c r="A408" s="226" t="s">
        <v>988</v>
      </c>
      <c r="B408" s="259">
        <f>'Development Budget Worksheet'!C117</f>
        <v>0</v>
      </c>
      <c r="C408" s="214"/>
      <c r="D408" s="214"/>
      <c r="E408" s="215"/>
    </row>
    <row r="409" spans="1:7" x14ac:dyDescent="0.2">
      <c r="A409" s="226" t="s">
        <v>989</v>
      </c>
      <c r="B409" s="259">
        <f>'Development Budget Worksheet'!C111</f>
        <v>0</v>
      </c>
      <c r="C409" s="214"/>
      <c r="D409" s="214"/>
      <c r="E409" s="215"/>
    </row>
    <row r="410" spans="1:7" x14ac:dyDescent="0.2">
      <c r="A410" s="226" t="s">
        <v>990</v>
      </c>
      <c r="B410" s="259">
        <f>'Development Budget Worksheet'!C117</f>
        <v>0</v>
      </c>
      <c r="C410" s="214"/>
      <c r="D410" s="214"/>
      <c r="E410" s="215"/>
    </row>
    <row r="411" spans="1:7" x14ac:dyDescent="0.2">
      <c r="A411" s="226" t="s">
        <v>991</v>
      </c>
      <c r="B411" s="271">
        <f>'Sources of Funds Worksheet'!D8</f>
        <v>0</v>
      </c>
      <c r="C411" s="214"/>
      <c r="D411" s="214"/>
      <c r="E411" s="215"/>
    </row>
    <row r="412" spans="1:7" x14ac:dyDescent="0.2">
      <c r="A412" s="270" t="s">
        <v>916</v>
      </c>
      <c r="B412" s="267" t="e">
        <f>'Housing Pro Forma'!V62</f>
        <v>#DIV/0!</v>
      </c>
      <c r="C412" s="214"/>
      <c r="D412" s="257"/>
      <c r="E412" s="215"/>
      <c r="F412" s="269" t="s">
        <v>1187</v>
      </c>
    </row>
    <row r="413" spans="1:7" x14ac:dyDescent="0.2">
      <c r="A413" s="226" t="s">
        <v>993</v>
      </c>
      <c r="B413" s="287">
        <f>'Housing Pro Forma'!E22</f>
        <v>0</v>
      </c>
      <c r="C413" s="214"/>
      <c r="D413" s="214"/>
      <c r="E413" s="215"/>
    </row>
    <row r="414" spans="1:7" x14ac:dyDescent="0.2">
      <c r="A414" s="226" t="s">
        <v>994</v>
      </c>
      <c r="B414" s="262">
        <f>'Housing Pro Forma'!E7</f>
        <v>0</v>
      </c>
      <c r="C414" s="214"/>
      <c r="D414" s="257" t="s">
        <v>1152</v>
      </c>
      <c r="E414" s="215"/>
    </row>
    <row r="415" spans="1:7" x14ac:dyDescent="0.2">
      <c r="A415" s="226" t="s">
        <v>995</v>
      </c>
      <c r="B415" s="264"/>
      <c r="C415" s="214"/>
      <c r="D415" s="257" t="s">
        <v>1153</v>
      </c>
      <c r="E415" s="215"/>
    </row>
    <row r="416" spans="1:7" x14ac:dyDescent="0.2">
      <c r="A416" s="226" t="s">
        <v>996</v>
      </c>
      <c r="B416" s="262">
        <f>'Housing Pro Forma'!V48</f>
        <v>0</v>
      </c>
      <c r="C416" s="214"/>
      <c r="D416" s="257" t="s">
        <v>1154</v>
      </c>
      <c r="E416" s="215"/>
    </row>
    <row r="417" spans="1:7" x14ac:dyDescent="0.2">
      <c r="A417" s="226" t="s">
        <v>997</v>
      </c>
      <c r="B417" s="266"/>
      <c r="C417" s="214"/>
      <c r="D417" s="257" t="s">
        <v>1156</v>
      </c>
      <c r="E417" s="288" t="s">
        <v>1155</v>
      </c>
      <c r="G417" s="406"/>
    </row>
    <row r="418" spans="1:7" x14ac:dyDescent="0.2">
      <c r="A418" s="226" t="s">
        <v>999</v>
      </c>
      <c r="B418" s="263">
        <f>'Feasibility Analysis Worksheet'!E22</f>
        <v>0</v>
      </c>
      <c r="C418" s="214"/>
      <c r="D418" s="214"/>
      <c r="E418" s="215"/>
    </row>
    <row r="419" spans="1:7" x14ac:dyDescent="0.2">
      <c r="A419" s="276" t="s">
        <v>1000</v>
      </c>
      <c r="B419" s="263" t="e">
        <f>'Housing Pro Forma'!V56</f>
        <v>#DIV/0!</v>
      </c>
      <c r="C419" s="214"/>
      <c r="D419" s="214"/>
      <c r="E419" s="215"/>
    </row>
    <row r="420" spans="1:7" x14ac:dyDescent="0.2">
      <c r="A420" s="226" t="s">
        <v>1001</v>
      </c>
      <c r="B420" s="263" t="e">
        <f>'Housing Pro Forma'!V58</f>
        <v>#DIV/0!</v>
      </c>
      <c r="C420" s="214"/>
      <c r="D420" s="214"/>
      <c r="E420" s="215"/>
    </row>
    <row r="421" spans="1:7" x14ac:dyDescent="0.2">
      <c r="A421" s="276" t="s">
        <v>1002</v>
      </c>
      <c r="B421" s="285">
        <f>'Sources of Funds Worksheet'!AO19</f>
        <v>0</v>
      </c>
      <c r="C421" s="214"/>
      <c r="D421" s="214"/>
      <c r="E421" s="215"/>
    </row>
    <row r="422" spans="1:7" x14ac:dyDescent="0.2">
      <c r="A422" s="276" t="s">
        <v>1003</v>
      </c>
      <c r="B422" s="289"/>
      <c r="C422" s="214"/>
      <c r="D422" s="257" t="s">
        <v>1159</v>
      </c>
      <c r="E422" s="216" t="s">
        <v>1127</v>
      </c>
      <c r="G422" s="406"/>
    </row>
    <row r="423" spans="1:7" x14ac:dyDescent="0.2">
      <c r="A423" s="226" t="s">
        <v>1004</v>
      </c>
      <c r="B423" s="263">
        <f>'Sources of Funds Worksheet'!AP19</f>
        <v>0</v>
      </c>
      <c r="C423" s="214"/>
      <c r="D423" s="214"/>
      <c r="E423" s="215"/>
    </row>
    <row r="424" spans="1:7" x14ac:dyDescent="0.2">
      <c r="A424" s="226" t="s">
        <v>1005</v>
      </c>
      <c r="B424" s="262">
        <f>'Sources of Funds Worksheet'!W22</f>
        <v>0</v>
      </c>
      <c r="C424" s="214"/>
      <c r="D424" s="257"/>
      <c r="E424" s="215"/>
    </row>
    <row r="425" spans="1:7" x14ac:dyDescent="0.2">
      <c r="A425" s="276" t="s">
        <v>1006</v>
      </c>
      <c r="B425" s="289"/>
      <c r="C425" s="214"/>
      <c r="D425" s="257" t="s">
        <v>1159</v>
      </c>
      <c r="E425" s="216" t="s">
        <v>1127</v>
      </c>
      <c r="G425" s="406"/>
    </row>
    <row r="426" spans="1:7" x14ac:dyDescent="0.2">
      <c r="A426" s="276" t="s">
        <v>1007</v>
      </c>
      <c r="B426" s="290"/>
      <c r="C426" s="214"/>
      <c r="D426" s="214" t="s">
        <v>944</v>
      </c>
      <c r="E426" s="215"/>
      <c r="G426" s="406"/>
    </row>
    <row r="427" spans="1:7" x14ac:dyDescent="0.2">
      <c r="A427" s="214" t="s">
        <v>1008</v>
      </c>
      <c r="B427" s="291"/>
      <c r="C427" s="214"/>
      <c r="D427" s="214" t="s">
        <v>944</v>
      </c>
      <c r="E427" s="215"/>
      <c r="G427" s="406"/>
    </row>
    <row r="428" spans="1:7" x14ac:dyDescent="0.2">
      <c r="A428" s="292" t="s">
        <v>1009</v>
      </c>
      <c r="B428" s="214">
        <f>'Project Information'!H13</f>
        <v>0</v>
      </c>
      <c r="C428" s="214"/>
      <c r="D428" s="214"/>
      <c r="E428" s="215"/>
    </row>
    <row r="429" spans="1:7" x14ac:dyDescent="0.2">
      <c r="A429" s="292" t="s">
        <v>1010</v>
      </c>
      <c r="B429" s="262"/>
      <c r="C429" s="214"/>
      <c r="D429" s="214"/>
      <c r="E429" s="215"/>
    </row>
    <row r="430" spans="1:7" x14ac:dyDescent="0.2">
      <c r="A430" s="292" t="s">
        <v>1011</v>
      </c>
      <c r="B430" s="214"/>
      <c r="C430" s="214"/>
      <c r="D430" s="215" t="s">
        <v>1127</v>
      </c>
      <c r="E430" s="215" t="s">
        <v>1127</v>
      </c>
      <c r="G430" s="406"/>
    </row>
    <row r="431" spans="1:7" x14ac:dyDescent="0.2">
      <c r="A431" s="214" t="s">
        <v>1012</v>
      </c>
      <c r="B431" s="214"/>
      <c r="C431" s="214"/>
      <c r="D431" s="215" t="s">
        <v>1127</v>
      </c>
      <c r="E431" s="288" t="s">
        <v>998</v>
      </c>
      <c r="G431" s="406"/>
    </row>
    <row r="432" spans="1:7" x14ac:dyDescent="0.2">
      <c r="A432" s="257" t="s">
        <v>1013</v>
      </c>
      <c r="B432" s="266">
        <f>'Feasibility Analysis Worksheet'!K15</f>
        <v>0</v>
      </c>
      <c r="C432" s="214"/>
      <c r="D432" s="257"/>
      <c r="E432" s="215"/>
    </row>
    <row r="433" spans="1:7" x14ac:dyDescent="0.2">
      <c r="A433" s="214" t="s">
        <v>1014</v>
      </c>
      <c r="B433" s="214"/>
      <c r="C433" s="214"/>
      <c r="D433" s="215" t="s">
        <v>1127</v>
      </c>
      <c r="E433" s="215"/>
      <c r="G433" s="406"/>
    </row>
    <row r="434" spans="1:7" x14ac:dyDescent="0.2">
      <c r="A434" s="214" t="s">
        <v>1015</v>
      </c>
      <c r="B434" s="293"/>
      <c r="C434" s="214"/>
      <c r="D434" s="257" t="s">
        <v>1162</v>
      </c>
      <c r="E434" s="215"/>
      <c r="G434" s="406"/>
    </row>
    <row r="435" spans="1:7" x14ac:dyDescent="0.2">
      <c r="A435" s="214" t="s">
        <v>1016</v>
      </c>
      <c r="B435" s="220">
        <f>'Feasibility Analysis Worksheet'!E19</f>
        <v>0</v>
      </c>
      <c r="C435" s="214"/>
      <c r="D435" s="214"/>
      <c r="E435" s="215"/>
    </row>
    <row r="436" spans="1:7" x14ac:dyDescent="0.2">
      <c r="A436" s="255" t="s">
        <v>1017</v>
      </c>
      <c r="B436" s="236">
        <f>'Development Budget Worksheet'!C115</f>
        <v>0</v>
      </c>
      <c r="C436" s="214"/>
      <c r="D436" s="215"/>
      <c r="E436" s="215"/>
    </row>
    <row r="437" spans="1:7" x14ac:dyDescent="0.2">
      <c r="A437" s="257" t="s">
        <v>1018</v>
      </c>
      <c r="B437" s="267" t="e">
        <f>'Development Budget Worksheet'!J33</f>
        <v>#DIV/0!</v>
      </c>
      <c r="C437" s="294"/>
      <c r="D437" s="295" t="s">
        <v>1019</v>
      </c>
      <c r="E437" s="296" t="s">
        <v>1020</v>
      </c>
    </row>
    <row r="438" spans="1:7" x14ac:dyDescent="0.2">
      <c r="A438" s="257" t="s">
        <v>1021</v>
      </c>
      <c r="B438" s="267" t="e">
        <f>'Development Budget Worksheet'!J34</f>
        <v>#DIV/0!</v>
      </c>
      <c r="C438" s="294"/>
      <c r="D438" s="295" t="s">
        <v>1022</v>
      </c>
      <c r="E438" s="296" t="s">
        <v>1020</v>
      </c>
    </row>
    <row r="439" spans="1:7" x14ac:dyDescent="0.2">
      <c r="A439" s="257" t="s">
        <v>1023</v>
      </c>
      <c r="B439" s="267" t="e">
        <f>'Development Budget Worksheet'!J35</f>
        <v>#DIV/0!</v>
      </c>
      <c r="C439" s="294"/>
      <c r="D439" s="295" t="s">
        <v>1024</v>
      </c>
      <c r="E439" s="296" t="s">
        <v>1020</v>
      </c>
    </row>
    <row r="440" spans="1:7" x14ac:dyDescent="0.2">
      <c r="A440" s="257" t="s">
        <v>1025</v>
      </c>
      <c r="B440" s="267"/>
      <c r="C440" s="294"/>
      <c r="D440" s="295" t="s">
        <v>1165</v>
      </c>
      <c r="E440" s="296" t="s">
        <v>1020</v>
      </c>
      <c r="G440" s="406"/>
    </row>
    <row r="441" spans="1:7" x14ac:dyDescent="0.2">
      <c r="A441" s="257" t="s">
        <v>1026</v>
      </c>
      <c r="B441" s="267"/>
      <c r="C441" s="214"/>
      <c r="D441" s="295" t="s">
        <v>1166</v>
      </c>
      <c r="E441" s="296" t="s">
        <v>1027</v>
      </c>
      <c r="G441" s="406"/>
    </row>
    <row r="442" spans="1:7" x14ac:dyDescent="0.2">
      <c r="A442" s="214" t="s">
        <v>1028</v>
      </c>
      <c r="B442" s="267"/>
      <c r="C442" s="294"/>
      <c r="D442" s="297" t="s">
        <v>1167</v>
      </c>
      <c r="E442" s="296" t="s">
        <v>1020</v>
      </c>
      <c r="G442" s="406"/>
    </row>
    <row r="443" spans="1:7" x14ac:dyDescent="0.2">
      <c r="A443" s="214" t="s">
        <v>1029</v>
      </c>
      <c r="B443" s="267"/>
      <c r="C443" s="294"/>
      <c r="D443" s="297" t="s">
        <v>1168</v>
      </c>
      <c r="E443" s="296" t="s">
        <v>1020</v>
      </c>
      <c r="G443" s="406"/>
    </row>
    <row r="444" spans="1:7" x14ac:dyDescent="0.2">
      <c r="A444" s="214" t="s">
        <v>1030</v>
      </c>
      <c r="B444" s="267"/>
      <c r="C444" s="294"/>
      <c r="D444" s="297" t="s">
        <v>1169</v>
      </c>
      <c r="E444" s="296" t="s">
        <v>1020</v>
      </c>
      <c r="G444" s="406"/>
    </row>
    <row r="445" spans="1:7" x14ac:dyDescent="0.2">
      <c r="A445" s="214" t="s">
        <v>1031</v>
      </c>
      <c r="B445" s="267"/>
      <c r="C445" s="294"/>
      <c r="D445" s="297" t="s">
        <v>1170</v>
      </c>
      <c r="E445" s="296" t="s">
        <v>1020</v>
      </c>
      <c r="G445" s="406"/>
    </row>
    <row r="446" spans="1:7" x14ac:dyDescent="0.2">
      <c r="A446" s="214" t="s">
        <v>1032</v>
      </c>
      <c r="B446" s="214"/>
      <c r="C446" s="294"/>
      <c r="D446" s="295" t="s">
        <v>1171</v>
      </c>
      <c r="E446" s="296" t="s">
        <v>1020</v>
      </c>
      <c r="G446" s="406"/>
    </row>
    <row r="447" spans="1:7" x14ac:dyDescent="0.2">
      <c r="A447" s="214" t="s">
        <v>1033</v>
      </c>
      <c r="B447" s="267" t="str">
        <f>'Feasibility Analysis Worksheet'!L7</f>
        <v>TRUE</v>
      </c>
      <c r="C447" s="294"/>
      <c r="D447" s="295" t="s">
        <v>1229</v>
      </c>
      <c r="E447" s="296" t="s">
        <v>1020</v>
      </c>
      <c r="F447" s="269"/>
    </row>
    <row r="448" spans="1:7" x14ac:dyDescent="0.2">
      <c r="A448" s="214" t="s">
        <v>1034</v>
      </c>
      <c r="B448" s="267"/>
      <c r="C448" s="214"/>
      <c r="D448" s="298" t="s">
        <v>1172</v>
      </c>
      <c r="E448" s="296" t="s">
        <v>1020</v>
      </c>
      <c r="G448" s="406"/>
    </row>
    <row r="449" spans="1:8" x14ac:dyDescent="0.2">
      <c r="A449" s="257" t="s">
        <v>1035</v>
      </c>
      <c r="B449" s="293"/>
      <c r="C449" s="214"/>
      <c r="D449" s="299" t="s">
        <v>1173</v>
      </c>
      <c r="E449" s="296"/>
      <c r="G449" s="406"/>
    </row>
    <row r="450" spans="1:8" x14ac:dyDescent="0.2">
      <c r="A450" s="257" t="s">
        <v>1036</v>
      </c>
      <c r="B450" s="259">
        <f>'Housing Pro Forma'!V59</f>
        <v>0</v>
      </c>
      <c r="C450" s="214"/>
      <c r="D450" s="299" t="s">
        <v>1037</v>
      </c>
      <c r="E450" s="296"/>
    </row>
    <row r="451" spans="1:8" x14ac:dyDescent="0.2">
      <c r="A451" s="257" t="s">
        <v>1038</v>
      </c>
      <c r="B451" s="267"/>
      <c r="C451" s="214"/>
      <c r="D451" s="257" t="s">
        <v>1163</v>
      </c>
      <c r="E451" s="296"/>
      <c r="G451" s="406"/>
    </row>
    <row r="452" spans="1:8" x14ac:dyDescent="0.2">
      <c r="A452" s="257" t="s">
        <v>1039</v>
      </c>
      <c r="B452" s="293">
        <f>'Sources of Funds Worksheet'!R11</f>
        <v>0</v>
      </c>
      <c r="C452" s="214"/>
      <c r="D452" s="299" t="s">
        <v>1040</v>
      </c>
      <c r="E452" s="296"/>
    </row>
    <row r="453" spans="1:8" x14ac:dyDescent="0.2">
      <c r="A453" s="257" t="s">
        <v>1041</v>
      </c>
      <c r="B453" s="259"/>
      <c r="C453" s="214"/>
      <c r="D453" s="300" t="s">
        <v>1042</v>
      </c>
      <c r="E453" s="214"/>
    </row>
    <row r="454" spans="1:8" x14ac:dyDescent="0.2">
      <c r="A454" s="214" t="s">
        <v>1043</v>
      </c>
      <c r="B454" s="267">
        <f>'Feasibility Analysis Worksheet'!K16</f>
        <v>0</v>
      </c>
      <c r="C454" s="214"/>
      <c r="D454" s="257"/>
      <c r="E454" s="215"/>
    </row>
    <row r="455" spans="1:8" x14ac:dyDescent="0.2">
      <c r="A455" s="214" t="s">
        <v>1044</v>
      </c>
      <c r="B455" s="267"/>
      <c r="C455" s="214"/>
      <c r="D455" s="257" t="s">
        <v>1163</v>
      </c>
      <c r="E455" s="215"/>
      <c r="G455" s="406"/>
    </row>
    <row r="456" spans="1:8" x14ac:dyDescent="0.2">
      <c r="A456" s="214" t="s">
        <v>1045</v>
      </c>
      <c r="B456" s="267"/>
      <c r="C456" s="214"/>
      <c r="D456" s="257" t="s">
        <v>1162</v>
      </c>
      <c r="E456" s="215"/>
      <c r="G456" s="406"/>
    </row>
    <row r="457" spans="1:8" x14ac:dyDescent="0.2">
      <c r="A457" s="214" t="s">
        <v>1046</v>
      </c>
      <c r="B457" s="267"/>
      <c r="C457" s="214"/>
      <c r="D457" s="215" t="s">
        <v>1127</v>
      </c>
      <c r="E457" s="215"/>
      <c r="G457" s="406"/>
    </row>
    <row r="458" spans="1:8" x14ac:dyDescent="0.2">
      <c r="A458" s="257" t="s">
        <v>1047</v>
      </c>
      <c r="B458" s="259"/>
      <c r="C458" s="214"/>
      <c r="D458" s="215" t="s">
        <v>1127</v>
      </c>
      <c r="E458" s="215"/>
      <c r="G458" s="406"/>
    </row>
    <row r="459" spans="1:8" x14ac:dyDescent="0.2">
      <c r="A459" s="214" t="s">
        <v>1048</v>
      </c>
      <c r="B459" s="426" t="s">
        <v>1681</v>
      </c>
      <c r="C459" s="214"/>
      <c r="D459" s="257" t="s">
        <v>1175</v>
      </c>
      <c r="E459" s="215"/>
    </row>
    <row r="460" spans="1:8" x14ac:dyDescent="0.2">
      <c r="A460" s="214" t="s">
        <v>1076</v>
      </c>
      <c r="B460" s="267" t="b">
        <v>1</v>
      </c>
      <c r="C460" s="214"/>
      <c r="D460" s="257" t="s">
        <v>1176</v>
      </c>
      <c r="E460" s="216" t="s">
        <v>1105</v>
      </c>
      <c r="F460" s="269"/>
    </row>
    <row r="461" spans="1:8" s="215" customFormat="1" x14ac:dyDescent="0.2">
      <c r="A461" s="257" t="s">
        <v>1179</v>
      </c>
      <c r="B461" s="425">
        <v>1</v>
      </c>
      <c r="C461" s="214"/>
      <c r="D461" s="214"/>
      <c r="G461" s="405"/>
      <c r="H461" s="236"/>
    </row>
    <row r="462" spans="1:8" s="215" customFormat="1" x14ac:dyDescent="0.2">
      <c r="A462" s="257" t="s">
        <v>1180</v>
      </c>
      <c r="B462" s="257" t="s">
        <v>1181</v>
      </c>
      <c r="C462" s="214"/>
      <c r="D462" s="214"/>
      <c r="G462" s="405"/>
      <c r="H462" s="236"/>
    </row>
    <row r="463" spans="1:8" x14ac:dyDescent="0.2">
      <c r="A463" s="257" t="s">
        <v>1182</v>
      </c>
      <c r="B463" s="301">
        <f>'Feasibility Analysis Worksheet'!K8</f>
        <v>3200</v>
      </c>
      <c r="F463" s="217" t="s">
        <v>1184</v>
      </c>
    </row>
    <row r="464" spans="1:8" x14ac:dyDescent="0.2">
      <c r="A464" s="257" t="s">
        <v>1183</v>
      </c>
      <c r="B464" s="301">
        <f>'Feasibility Analysis Worksheet'!K9</f>
        <v>6000</v>
      </c>
      <c r="F464" s="217" t="s">
        <v>1184</v>
      </c>
    </row>
    <row r="465" spans="1:8" s="215" customFormat="1" x14ac:dyDescent="0.2">
      <c r="A465" s="257" t="s">
        <v>1180</v>
      </c>
      <c r="B465" s="214" t="s">
        <v>1181</v>
      </c>
      <c r="C465" s="214"/>
      <c r="D465" s="214"/>
      <c r="H465" s="236"/>
    </row>
    <row r="466" spans="1:8" s="215" customFormat="1" x14ac:dyDescent="0.2">
      <c r="A466" s="214" t="s">
        <v>1179</v>
      </c>
      <c r="B466" s="214">
        <v>1</v>
      </c>
      <c r="C466" s="214"/>
      <c r="D466" s="214"/>
      <c r="H466" s="236"/>
    </row>
    <row r="467" spans="1:8" x14ac:dyDescent="0.2">
      <c r="A467" s="258" t="s">
        <v>1439</v>
      </c>
      <c r="B467" s="419">
        <f>'Feasibility Analysis Worksheet'!E23</f>
        <v>0</v>
      </c>
      <c r="C467" s="214"/>
      <c r="D467" s="374" t="s">
        <v>1412</v>
      </c>
      <c r="E467" s="374" t="s">
        <v>1417</v>
      </c>
      <c r="G467" s="410"/>
    </row>
    <row r="468" spans="1:8" x14ac:dyDescent="0.2">
      <c r="A468" s="408" t="s">
        <v>1440</v>
      </c>
      <c r="B468" s="419">
        <f>'Feasibility Analysis Worksheet'!E18</f>
        <v>0</v>
      </c>
      <c r="C468" s="214"/>
      <c r="D468" s="374" t="s">
        <v>1413</v>
      </c>
      <c r="E468" s="374" t="s">
        <v>1417</v>
      </c>
      <c r="G468" s="410"/>
    </row>
    <row r="469" spans="1:8" x14ac:dyDescent="0.2">
      <c r="A469" s="408" t="s">
        <v>1441</v>
      </c>
      <c r="B469" s="236">
        <v>350</v>
      </c>
      <c r="C469" s="214"/>
      <c r="D469" s="408" t="s">
        <v>1414</v>
      </c>
      <c r="E469" s="374" t="s">
        <v>1417</v>
      </c>
      <c r="G469" s="410"/>
    </row>
    <row r="470" spans="1:8" x14ac:dyDescent="0.2">
      <c r="A470" s="408" t="s">
        <v>1442</v>
      </c>
      <c r="B470" s="236" t="e">
        <f>'Feasibility Analysis Worksheet'!K10</f>
        <v>#DIV/0!</v>
      </c>
      <c r="C470" s="214"/>
      <c r="D470" s="408" t="s">
        <v>1453</v>
      </c>
      <c r="E470" s="374" t="s">
        <v>1417</v>
      </c>
      <c r="G470" s="410"/>
    </row>
    <row r="471" spans="1:8" x14ac:dyDescent="0.2">
      <c r="A471" s="408" t="s">
        <v>1443</v>
      </c>
      <c r="B471" s="282">
        <f>'Feasibility Analysis Worksheet'!E21</f>
        <v>0</v>
      </c>
      <c r="C471" s="214"/>
      <c r="D471" s="408" t="s">
        <v>1448</v>
      </c>
      <c r="E471" s="374" t="s">
        <v>1417</v>
      </c>
      <c r="G471" s="410"/>
    </row>
    <row r="472" spans="1:8" x14ac:dyDescent="0.2">
      <c r="A472" s="408" t="s">
        <v>1444</v>
      </c>
      <c r="B472" s="282">
        <v>9</v>
      </c>
      <c r="C472" s="214"/>
      <c r="D472" s="408" t="s">
        <v>1447</v>
      </c>
      <c r="E472" s="374" t="s">
        <v>1417</v>
      </c>
      <c r="G472" s="410"/>
    </row>
    <row r="473" spans="1:8" x14ac:dyDescent="0.2">
      <c r="A473" s="408" t="s">
        <v>1445</v>
      </c>
      <c r="B473" s="419" t="str">
        <f>'Feasibility Analysis Worksheet'!K12</f>
        <v>NA</v>
      </c>
      <c r="D473" s="421" t="s">
        <v>1457</v>
      </c>
      <c r="E473" s="374" t="s">
        <v>1417</v>
      </c>
    </row>
    <row r="474" spans="1:8" x14ac:dyDescent="0.2">
      <c r="A474" s="408" t="s">
        <v>1446</v>
      </c>
      <c r="B474" s="407">
        <f>'Feasibility Analysis Worksheet'!K21</f>
        <v>0</v>
      </c>
      <c r="C474" s="214"/>
      <c r="D474" s="408" t="s">
        <v>1416</v>
      </c>
      <c r="E474" s="374" t="s">
        <v>1417</v>
      </c>
    </row>
    <row r="475" spans="1:8" ht="13.5" thickBot="1" x14ac:dyDescent="0.25">
      <c r="A475" s="408" t="s">
        <v>1572</v>
      </c>
      <c r="B475" s="419">
        <v>0.02</v>
      </c>
      <c r="C475" s="214"/>
      <c r="D475" s="374" t="s">
        <v>1580</v>
      </c>
      <c r="E475" s="374"/>
    </row>
    <row r="476" spans="1:8" x14ac:dyDescent="0.2">
      <c r="A476" s="408" t="s">
        <v>1573</v>
      </c>
      <c r="B476" s="666">
        <f>'Feasibility Analysis Worksheet'!E27</f>
        <v>0</v>
      </c>
      <c r="C476" s="214"/>
      <c r="D476" s="374" t="s">
        <v>1580</v>
      </c>
      <c r="E476" s="374"/>
      <c r="G476" s="411" t="s">
        <v>1420</v>
      </c>
      <c r="H476" s="412"/>
    </row>
    <row r="477" spans="1:8" x14ac:dyDescent="0.2">
      <c r="A477" s="408" t="s">
        <v>1575</v>
      </c>
      <c r="B477" s="678">
        <f>'Feasibility Analysis Worksheet'!B30</f>
        <v>7.5319999999999998E-2</v>
      </c>
      <c r="C477" s="214"/>
      <c r="D477" s="408" t="s">
        <v>1581</v>
      </c>
      <c r="E477" s="374"/>
      <c r="G477" s="413"/>
      <c r="H477" s="414" t="s">
        <v>1421</v>
      </c>
    </row>
    <row r="478" spans="1:8" x14ac:dyDescent="0.2">
      <c r="A478" s="408" t="s">
        <v>1574</v>
      </c>
      <c r="B478" s="678">
        <f>'Feasibility Analysis Worksheet'!B29</f>
        <v>0</v>
      </c>
      <c r="C478" s="214"/>
      <c r="D478" s="408" t="s">
        <v>1581</v>
      </c>
      <c r="E478" s="374"/>
      <c r="G478" s="415"/>
      <c r="H478" s="414" t="s">
        <v>1418</v>
      </c>
    </row>
    <row r="479" spans="1:8" x14ac:dyDescent="0.2">
      <c r="A479" s="408" t="s">
        <v>1576</v>
      </c>
      <c r="B479" s="665">
        <v>0.02</v>
      </c>
      <c r="C479" s="214"/>
      <c r="D479" s="408" t="s">
        <v>1582</v>
      </c>
      <c r="E479" s="374"/>
      <c r="G479" s="416"/>
      <c r="H479" s="414" t="s">
        <v>1419</v>
      </c>
    </row>
    <row r="480" spans="1:8" ht="13.5" thickBot="1" x14ac:dyDescent="0.25">
      <c r="A480" s="408" t="s">
        <v>1577</v>
      </c>
      <c r="B480" s="266">
        <f>'Feasibility Analysis Worksheet'!E26</f>
        <v>0</v>
      </c>
      <c r="C480" s="214"/>
      <c r="D480" s="408" t="s">
        <v>1582</v>
      </c>
      <c r="E480" s="374"/>
      <c r="G480" s="417"/>
      <c r="H480" s="418" t="s">
        <v>1422</v>
      </c>
    </row>
    <row r="481" spans="1:5" x14ac:dyDescent="0.2">
      <c r="A481" s="408" t="s">
        <v>1578</v>
      </c>
      <c r="B481" s="674" cm="1">
        <f t="array" ref="B481:C481">'Feasibility Analysis Worksheet'!C28:D28</f>
        <v>9.5320000000000002E-2</v>
      </c>
      <c r="C481" s="217">
        <v>0</v>
      </c>
      <c r="D481" s="408" t="s">
        <v>1583</v>
      </c>
      <c r="E481" s="374"/>
    </row>
    <row r="482" spans="1:5" x14ac:dyDescent="0.2">
      <c r="A482" s="408" t="s">
        <v>1579</v>
      </c>
      <c r="B482" s="675">
        <f>'Feasibility Analysis Worksheet'!E28</f>
        <v>0</v>
      </c>
      <c r="C482" s="214"/>
      <c r="D482" s="421" t="s">
        <v>1583</v>
      </c>
      <c r="E482" s="374"/>
    </row>
    <row r="483" spans="1:5" x14ac:dyDescent="0.2">
      <c r="D483" s="374"/>
    </row>
  </sheetData>
  <sheetProtection algorithmName="SHA-512" hashValue="u4IN84aqDYhb8PrwAxNgVRtWAL857OiQgq13akrRn15xBUxc+q02pRgozk1nAwXyAa03R4vLgrieCWjzHtg4VA==" saltValue="AFIwvNX/7O2v9x6y7qiZsw==" spinCount="100000" sheet="1" objects="1" scenarios="1"/>
  <phoneticPr fontId="8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5F46-C0FA-4A05-9EF7-B1679DF6BBCD}">
  <dimension ref="B1:AZ366"/>
  <sheetViews>
    <sheetView workbookViewId="0">
      <selection activeCell="B366" sqref="B3:B366"/>
    </sheetView>
  </sheetViews>
  <sheetFormatPr defaultColWidth="9.140625" defaultRowHeight="12.75" x14ac:dyDescent="0.2"/>
  <cols>
    <col min="1" max="1" width="9.140625" style="385"/>
    <col min="2" max="2" width="30.42578125" style="385" bestFit="1" customWidth="1"/>
    <col min="3" max="3" width="9.140625" style="385"/>
    <col min="4" max="28" width="9.140625" style="385" customWidth="1"/>
    <col min="29" max="16384" width="9.140625" style="385"/>
  </cols>
  <sheetData>
    <row r="1" spans="2:52" ht="15" x14ac:dyDescent="0.25">
      <c r="B1" s="498"/>
      <c r="C1" s="348"/>
      <c r="D1" s="348"/>
      <c r="E1" s="348"/>
      <c r="F1" s="348"/>
      <c r="G1" s="348"/>
      <c r="H1" s="348"/>
      <c r="I1" s="348"/>
      <c r="J1" s="348"/>
      <c r="K1" s="348"/>
      <c r="L1" s="348"/>
      <c r="M1" s="348"/>
      <c r="N1" s="348"/>
      <c r="O1" s="348"/>
      <c r="P1" s="348"/>
      <c r="Q1" s="499"/>
      <c r="R1" s="499"/>
      <c r="S1" s="499"/>
      <c r="T1" s="499"/>
      <c r="U1" s="499"/>
      <c r="V1" s="499"/>
      <c r="W1" s="499"/>
      <c r="X1" s="499"/>
      <c r="Y1" s="499"/>
      <c r="Z1" s="499"/>
      <c r="AA1" s="499"/>
      <c r="AB1" s="499"/>
      <c r="AC1" s="499"/>
      <c r="AD1" s="499"/>
      <c r="AE1" s="499"/>
      <c r="AF1" s="499"/>
    </row>
    <row r="2" spans="2:52" ht="15" x14ac:dyDescent="0.25">
      <c r="B2" s="49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8"/>
      <c r="AN2" s="348"/>
      <c r="AO2" s="348"/>
      <c r="AP2" s="348"/>
      <c r="AQ2" s="348"/>
      <c r="AR2" s="348"/>
      <c r="AS2" s="348"/>
      <c r="AT2" s="348"/>
      <c r="AU2" s="348"/>
      <c r="AV2" s="348"/>
      <c r="AW2" s="348"/>
      <c r="AX2" s="348"/>
      <c r="AY2" s="348"/>
      <c r="AZ2" s="348"/>
    </row>
    <row r="3" spans="2:52" ht="15" x14ac:dyDescent="0.25">
      <c r="B3" s="500" t="s">
        <v>483</v>
      </c>
      <c r="C3" s="501"/>
      <c r="D3" s="501"/>
      <c r="E3" s="501"/>
      <c r="F3" s="501"/>
      <c r="G3" s="501"/>
      <c r="H3" s="501"/>
      <c r="I3" s="501"/>
      <c r="J3" s="501"/>
      <c r="K3" s="501"/>
      <c r="L3" s="349"/>
      <c r="M3" s="349"/>
      <c r="N3" s="349"/>
      <c r="O3" s="349"/>
      <c r="P3" s="349"/>
      <c r="Q3" s="349"/>
      <c r="R3" s="349"/>
      <c r="S3" s="349"/>
      <c r="T3" s="349"/>
      <c r="U3" s="349"/>
      <c r="V3" s="502"/>
      <c r="W3" s="386"/>
      <c r="X3" s="503"/>
      <c r="Y3" s="503"/>
      <c r="Z3" s="503"/>
      <c r="AA3" s="503"/>
      <c r="AB3" s="503"/>
      <c r="AC3" s="504"/>
      <c r="AD3" s="504"/>
      <c r="AE3" s="504"/>
      <c r="AF3" s="504"/>
      <c r="AG3" s="505"/>
      <c r="AH3" s="505"/>
    </row>
    <row r="4" spans="2:52" ht="15" x14ac:dyDescent="0.25">
      <c r="B4" s="500" t="s">
        <v>484</v>
      </c>
      <c r="C4" s="501"/>
      <c r="D4" s="501"/>
      <c r="E4" s="501"/>
      <c r="F4" s="501"/>
      <c r="G4" s="501"/>
      <c r="H4" s="501"/>
      <c r="I4" s="501"/>
      <c r="J4" s="501"/>
      <c r="K4" s="501"/>
      <c r="L4" s="349"/>
      <c r="M4" s="349"/>
      <c r="N4" s="349"/>
      <c r="O4" s="349"/>
      <c r="P4" s="349"/>
      <c r="Q4" s="349"/>
      <c r="R4" s="349"/>
      <c r="S4" s="349"/>
      <c r="T4" s="349"/>
      <c r="U4" s="349"/>
      <c r="V4" s="502"/>
      <c r="W4" s="386"/>
      <c r="X4" s="503"/>
      <c r="Y4" s="503"/>
      <c r="Z4" s="503"/>
      <c r="AA4" s="503"/>
      <c r="AB4" s="503"/>
      <c r="AC4" s="504"/>
      <c r="AD4" s="504"/>
      <c r="AE4" s="504"/>
      <c r="AF4" s="504"/>
      <c r="AG4" s="505"/>
      <c r="AH4" s="505"/>
    </row>
    <row r="5" spans="2:52" ht="15" x14ac:dyDescent="0.25">
      <c r="B5" s="506" t="s">
        <v>114</v>
      </c>
      <c r="C5" s="501"/>
      <c r="D5" s="501"/>
      <c r="E5" s="501"/>
      <c r="F5" s="501"/>
      <c r="G5" s="501"/>
      <c r="H5" s="501"/>
      <c r="I5" s="501"/>
      <c r="J5" s="501"/>
      <c r="K5" s="501"/>
      <c r="L5" s="349"/>
      <c r="M5" s="349"/>
      <c r="N5" s="349"/>
      <c r="O5" s="349"/>
      <c r="P5" s="349"/>
      <c r="Q5" s="349"/>
      <c r="R5" s="349"/>
      <c r="S5" s="349"/>
      <c r="T5" s="349"/>
      <c r="U5" s="349"/>
      <c r="V5" s="502"/>
      <c r="W5" s="386"/>
      <c r="X5" s="503"/>
      <c r="Y5" s="503"/>
      <c r="Z5" s="503"/>
      <c r="AA5" s="503"/>
      <c r="AB5" s="503"/>
      <c r="AC5" s="504"/>
      <c r="AD5" s="504"/>
      <c r="AE5" s="504"/>
      <c r="AF5" s="504"/>
      <c r="AG5" s="505"/>
      <c r="AH5" s="505"/>
    </row>
    <row r="6" spans="2:52" ht="15" x14ac:dyDescent="0.25">
      <c r="B6" s="506" t="s">
        <v>115</v>
      </c>
      <c r="C6" s="501"/>
      <c r="D6" s="501"/>
      <c r="E6" s="501"/>
      <c r="F6" s="501"/>
      <c r="G6" s="501"/>
      <c r="H6" s="501"/>
      <c r="I6" s="501"/>
      <c r="J6" s="501"/>
      <c r="K6" s="501"/>
      <c r="L6" s="349"/>
      <c r="M6" s="349"/>
      <c r="N6" s="349"/>
      <c r="O6" s="349"/>
      <c r="P6" s="349"/>
      <c r="Q6" s="349"/>
      <c r="R6" s="349"/>
      <c r="S6" s="349"/>
      <c r="T6" s="349"/>
      <c r="U6" s="349"/>
      <c r="V6" s="502"/>
      <c r="W6" s="386"/>
      <c r="X6" s="503"/>
      <c r="Y6" s="503"/>
      <c r="Z6" s="503"/>
      <c r="AA6" s="503"/>
      <c r="AB6" s="503"/>
      <c r="AC6" s="504"/>
      <c r="AD6" s="504"/>
      <c r="AE6" s="504"/>
      <c r="AF6" s="504"/>
      <c r="AG6" s="505"/>
      <c r="AH6" s="505"/>
    </row>
    <row r="7" spans="2:52" ht="15" x14ac:dyDescent="0.25">
      <c r="B7" s="506" t="s">
        <v>485</v>
      </c>
      <c r="C7" s="501"/>
      <c r="D7" s="501"/>
      <c r="E7" s="501"/>
      <c r="F7" s="501"/>
      <c r="G7" s="501"/>
      <c r="H7" s="501"/>
      <c r="I7" s="501"/>
      <c r="J7" s="501"/>
      <c r="K7" s="501"/>
      <c r="L7" s="349"/>
      <c r="M7" s="349"/>
      <c r="N7" s="349"/>
      <c r="O7" s="349"/>
      <c r="P7" s="349"/>
      <c r="Q7" s="349"/>
      <c r="R7" s="349"/>
      <c r="S7" s="349"/>
      <c r="T7" s="349"/>
      <c r="U7" s="349"/>
      <c r="V7" s="502"/>
      <c r="W7" s="386"/>
      <c r="X7" s="503"/>
      <c r="Y7" s="503"/>
      <c r="Z7" s="503"/>
      <c r="AA7" s="503"/>
      <c r="AB7" s="503"/>
      <c r="AC7" s="504"/>
      <c r="AD7" s="504"/>
      <c r="AE7" s="504"/>
      <c r="AF7" s="504"/>
      <c r="AG7" s="505"/>
      <c r="AH7" s="505"/>
    </row>
    <row r="8" spans="2:52" ht="15" x14ac:dyDescent="0.25">
      <c r="B8" s="506" t="s">
        <v>116</v>
      </c>
      <c r="C8" s="501"/>
      <c r="D8" s="501"/>
      <c r="E8" s="501"/>
      <c r="F8" s="501"/>
      <c r="G8" s="501"/>
      <c r="H8" s="501"/>
      <c r="I8" s="501"/>
      <c r="J8" s="501"/>
      <c r="K8" s="501"/>
      <c r="L8" s="349"/>
      <c r="M8" s="349"/>
      <c r="N8" s="349"/>
      <c r="O8" s="349"/>
      <c r="P8" s="349"/>
      <c r="Q8" s="349"/>
      <c r="R8" s="349"/>
      <c r="S8" s="349"/>
      <c r="T8" s="349"/>
      <c r="U8" s="349"/>
      <c r="V8" s="502"/>
      <c r="W8" s="386"/>
      <c r="X8" s="503"/>
      <c r="Y8" s="503"/>
      <c r="Z8" s="503"/>
      <c r="AA8" s="503"/>
      <c r="AB8" s="503"/>
      <c r="AC8" s="504"/>
      <c r="AD8" s="504"/>
      <c r="AE8" s="504"/>
      <c r="AF8" s="504"/>
      <c r="AG8" s="505"/>
      <c r="AH8" s="505"/>
    </row>
    <row r="9" spans="2:52" ht="15" x14ac:dyDescent="0.25">
      <c r="B9" s="506" t="s">
        <v>117</v>
      </c>
      <c r="C9" s="501"/>
      <c r="D9" s="501"/>
      <c r="E9" s="501"/>
      <c r="F9" s="501"/>
      <c r="G9" s="501"/>
      <c r="H9" s="501"/>
      <c r="I9" s="501"/>
      <c r="J9" s="501"/>
      <c r="K9" s="501"/>
      <c r="L9" s="349"/>
      <c r="M9" s="349"/>
      <c r="N9" s="349"/>
      <c r="O9" s="349"/>
      <c r="P9" s="349"/>
      <c r="Q9" s="349"/>
      <c r="R9" s="349"/>
      <c r="S9" s="349"/>
      <c r="T9" s="349"/>
      <c r="U9" s="349"/>
      <c r="V9" s="502"/>
      <c r="W9" s="386"/>
      <c r="X9" s="503"/>
      <c r="Y9" s="503"/>
      <c r="Z9" s="503"/>
      <c r="AA9" s="503"/>
      <c r="AB9" s="503"/>
      <c r="AC9" s="504"/>
      <c r="AD9" s="504"/>
      <c r="AE9" s="504"/>
      <c r="AF9" s="504"/>
      <c r="AG9" s="505"/>
      <c r="AH9" s="505"/>
    </row>
    <row r="10" spans="2:52" ht="15" x14ac:dyDescent="0.25">
      <c r="B10" s="506" t="s">
        <v>118</v>
      </c>
      <c r="C10" s="501"/>
      <c r="D10" s="501"/>
      <c r="E10" s="501"/>
      <c r="F10" s="501"/>
      <c r="G10" s="501"/>
      <c r="H10" s="501"/>
      <c r="I10" s="501"/>
      <c r="J10" s="501"/>
      <c r="K10" s="501"/>
      <c r="L10" s="349"/>
      <c r="M10" s="349"/>
      <c r="N10" s="349"/>
      <c r="O10" s="349"/>
      <c r="P10" s="349"/>
      <c r="Q10" s="349"/>
      <c r="R10" s="349"/>
      <c r="S10" s="349"/>
      <c r="T10" s="349"/>
      <c r="U10" s="349"/>
      <c r="V10" s="502"/>
      <c r="W10" s="386"/>
      <c r="X10" s="503"/>
      <c r="Y10" s="503"/>
      <c r="Z10" s="503"/>
      <c r="AA10" s="503"/>
      <c r="AB10" s="503"/>
      <c r="AC10" s="504"/>
      <c r="AD10" s="504"/>
      <c r="AE10" s="504"/>
      <c r="AF10" s="504"/>
      <c r="AG10" s="505"/>
      <c r="AH10" s="505"/>
    </row>
    <row r="11" spans="2:52" ht="15" x14ac:dyDescent="0.25">
      <c r="B11" s="506" t="s">
        <v>119</v>
      </c>
      <c r="C11" s="501"/>
      <c r="D11" s="501"/>
      <c r="E11" s="501"/>
      <c r="F11" s="501"/>
      <c r="G11" s="501"/>
      <c r="H11" s="501"/>
      <c r="I11" s="501"/>
      <c r="J11" s="501"/>
      <c r="K11" s="501"/>
      <c r="L11" s="349"/>
      <c r="M11" s="349"/>
      <c r="N11" s="349"/>
      <c r="O11" s="349"/>
      <c r="P11" s="349"/>
      <c r="Q11" s="349"/>
      <c r="R11" s="349"/>
      <c r="S11" s="349"/>
      <c r="T11" s="349"/>
      <c r="U11" s="349"/>
      <c r="V11" s="502"/>
      <c r="W11" s="386"/>
      <c r="X11" s="503"/>
      <c r="Y11" s="503"/>
      <c r="Z11" s="503"/>
      <c r="AA11" s="503"/>
      <c r="AB11" s="503"/>
      <c r="AC11" s="504"/>
      <c r="AD11" s="504"/>
      <c r="AE11" s="504"/>
      <c r="AF11" s="504"/>
      <c r="AG11" s="505"/>
      <c r="AH11" s="505"/>
    </row>
    <row r="12" spans="2:52" ht="15" x14ac:dyDescent="0.25">
      <c r="B12" s="506" t="s">
        <v>120</v>
      </c>
      <c r="C12" s="501"/>
      <c r="D12" s="501"/>
      <c r="E12" s="501"/>
      <c r="F12" s="501"/>
      <c r="G12" s="501"/>
      <c r="H12" s="501"/>
      <c r="I12" s="501"/>
      <c r="J12" s="501"/>
      <c r="K12" s="501"/>
      <c r="L12" s="349"/>
      <c r="M12" s="349"/>
      <c r="N12" s="349"/>
      <c r="O12" s="349"/>
      <c r="P12" s="349"/>
      <c r="Q12" s="349"/>
      <c r="R12" s="349"/>
      <c r="S12" s="349"/>
      <c r="T12" s="349"/>
      <c r="U12" s="349"/>
      <c r="V12" s="502"/>
      <c r="W12" s="386"/>
      <c r="X12" s="503"/>
      <c r="Y12" s="503"/>
      <c r="Z12" s="503"/>
      <c r="AA12" s="503"/>
      <c r="AB12" s="503"/>
      <c r="AC12" s="504"/>
      <c r="AD12" s="504"/>
      <c r="AE12" s="504"/>
      <c r="AF12" s="504"/>
      <c r="AG12" s="505"/>
      <c r="AH12" s="505"/>
    </row>
    <row r="13" spans="2:52" ht="15" x14ac:dyDescent="0.25">
      <c r="B13" s="506" t="s">
        <v>121</v>
      </c>
      <c r="C13" s="501"/>
      <c r="D13" s="501"/>
      <c r="E13" s="501"/>
      <c r="F13" s="501"/>
      <c r="G13" s="501"/>
      <c r="H13" s="501"/>
      <c r="I13" s="501"/>
      <c r="J13" s="501"/>
      <c r="K13" s="501"/>
      <c r="L13" s="349"/>
      <c r="M13" s="349"/>
      <c r="N13" s="349"/>
      <c r="O13" s="349"/>
      <c r="P13" s="349"/>
      <c r="Q13" s="349"/>
      <c r="R13" s="349"/>
      <c r="S13" s="349"/>
      <c r="T13" s="349"/>
      <c r="U13" s="349"/>
      <c r="V13" s="502"/>
      <c r="W13" s="386"/>
      <c r="X13" s="503"/>
      <c r="Y13" s="503"/>
      <c r="Z13" s="503"/>
      <c r="AA13" s="503"/>
      <c r="AB13" s="503"/>
      <c r="AC13" s="504"/>
      <c r="AD13" s="504"/>
      <c r="AE13" s="504"/>
      <c r="AF13" s="504"/>
      <c r="AG13" s="505"/>
      <c r="AH13" s="505"/>
    </row>
    <row r="14" spans="2:52" ht="15" x14ac:dyDescent="0.25">
      <c r="B14" s="506" t="s">
        <v>122</v>
      </c>
      <c r="C14" s="501"/>
      <c r="D14" s="501"/>
      <c r="E14" s="501"/>
      <c r="F14" s="501"/>
      <c r="G14" s="501"/>
      <c r="H14" s="501"/>
      <c r="I14" s="501"/>
      <c r="J14" s="501"/>
      <c r="K14" s="501"/>
      <c r="L14" s="349"/>
      <c r="M14" s="349"/>
      <c r="N14" s="349"/>
      <c r="O14" s="349"/>
      <c r="P14" s="349"/>
      <c r="Q14" s="349"/>
      <c r="R14" s="349"/>
      <c r="S14" s="349"/>
      <c r="T14" s="349"/>
      <c r="U14" s="349"/>
      <c r="V14" s="502"/>
      <c r="W14" s="386"/>
      <c r="X14" s="503"/>
      <c r="Y14" s="503"/>
      <c r="Z14" s="503"/>
      <c r="AA14" s="503"/>
      <c r="AB14" s="503"/>
      <c r="AC14" s="504"/>
      <c r="AD14" s="504"/>
      <c r="AE14" s="504"/>
      <c r="AF14" s="504"/>
      <c r="AG14" s="505"/>
      <c r="AH14" s="505"/>
    </row>
    <row r="15" spans="2:52" ht="15" x14ac:dyDescent="0.25">
      <c r="B15" s="500" t="s">
        <v>486</v>
      </c>
      <c r="C15" s="501"/>
      <c r="D15" s="501"/>
      <c r="E15" s="501"/>
      <c r="F15" s="501"/>
      <c r="G15" s="501"/>
      <c r="H15" s="501"/>
      <c r="I15" s="501"/>
      <c r="J15" s="501"/>
      <c r="K15" s="501"/>
      <c r="L15" s="349"/>
      <c r="M15" s="349"/>
      <c r="N15" s="349"/>
      <c r="O15" s="349"/>
      <c r="P15" s="349"/>
      <c r="Q15" s="349"/>
      <c r="R15" s="349"/>
      <c r="S15" s="349"/>
      <c r="T15" s="349"/>
      <c r="U15" s="349"/>
      <c r="V15" s="502"/>
      <c r="W15" s="386"/>
      <c r="X15" s="503"/>
      <c r="Y15" s="503"/>
      <c r="Z15" s="503"/>
      <c r="AA15" s="503"/>
      <c r="AB15" s="503"/>
      <c r="AC15" s="504"/>
      <c r="AD15" s="504"/>
      <c r="AE15" s="504"/>
      <c r="AF15" s="504"/>
      <c r="AG15" s="505"/>
      <c r="AH15" s="505"/>
    </row>
    <row r="16" spans="2:52" ht="15" x14ac:dyDescent="0.25">
      <c r="B16" s="506" t="s">
        <v>123</v>
      </c>
      <c r="C16" s="501"/>
      <c r="D16" s="501"/>
      <c r="E16" s="501"/>
      <c r="F16" s="501"/>
      <c r="G16" s="501"/>
      <c r="H16" s="501"/>
      <c r="I16" s="501"/>
      <c r="J16" s="501"/>
      <c r="K16" s="501"/>
      <c r="L16" s="349"/>
      <c r="M16" s="349"/>
      <c r="N16" s="349"/>
      <c r="O16" s="349"/>
      <c r="P16" s="349"/>
      <c r="Q16" s="349"/>
      <c r="R16" s="349"/>
      <c r="S16" s="349"/>
      <c r="T16" s="349"/>
      <c r="U16" s="349"/>
      <c r="V16" s="502"/>
      <c r="W16" s="386"/>
      <c r="X16" s="503"/>
      <c r="Y16" s="503"/>
      <c r="Z16" s="503"/>
      <c r="AA16" s="503"/>
      <c r="AB16" s="503"/>
      <c r="AC16" s="504"/>
      <c r="AD16" s="504"/>
      <c r="AE16" s="504"/>
      <c r="AF16" s="504"/>
      <c r="AG16" s="505"/>
      <c r="AH16" s="505"/>
    </row>
    <row r="17" spans="2:34" ht="15" x14ac:dyDescent="0.25">
      <c r="B17" s="506" t="s">
        <v>124</v>
      </c>
      <c r="C17" s="501"/>
      <c r="D17" s="501"/>
      <c r="E17" s="501"/>
      <c r="F17" s="501"/>
      <c r="G17" s="501"/>
      <c r="H17" s="501"/>
      <c r="I17" s="501"/>
      <c r="J17" s="501"/>
      <c r="K17" s="501"/>
      <c r="L17" s="349"/>
      <c r="M17" s="349"/>
      <c r="N17" s="349"/>
      <c r="O17" s="349"/>
      <c r="P17" s="349"/>
      <c r="Q17" s="349"/>
      <c r="R17" s="349"/>
      <c r="S17" s="349"/>
      <c r="T17" s="349"/>
      <c r="U17" s="349"/>
      <c r="V17" s="502"/>
      <c r="W17" s="386"/>
      <c r="X17" s="503"/>
      <c r="Y17" s="503"/>
      <c r="Z17" s="503"/>
      <c r="AA17" s="503"/>
      <c r="AB17" s="503"/>
      <c r="AC17" s="504"/>
      <c r="AD17" s="504"/>
      <c r="AE17" s="504"/>
      <c r="AF17" s="504"/>
      <c r="AG17" s="505"/>
      <c r="AH17" s="505"/>
    </row>
    <row r="18" spans="2:34" ht="15" x14ac:dyDescent="0.25">
      <c r="B18" s="506" t="s">
        <v>125</v>
      </c>
      <c r="C18" s="501"/>
      <c r="D18" s="501"/>
      <c r="E18" s="501"/>
      <c r="F18" s="501"/>
      <c r="G18" s="501"/>
      <c r="H18" s="501"/>
      <c r="I18" s="501"/>
      <c r="J18" s="501"/>
      <c r="K18" s="501"/>
      <c r="L18" s="349"/>
      <c r="M18" s="349"/>
      <c r="N18" s="349"/>
      <c r="O18" s="349"/>
      <c r="P18" s="349"/>
      <c r="Q18" s="349"/>
      <c r="R18" s="349"/>
      <c r="S18" s="349"/>
      <c r="T18" s="349"/>
      <c r="U18" s="349"/>
      <c r="V18" s="502"/>
      <c r="W18" s="386"/>
      <c r="X18" s="503"/>
      <c r="Y18" s="503"/>
      <c r="Z18" s="503"/>
      <c r="AA18" s="503"/>
      <c r="AB18" s="503"/>
      <c r="AC18" s="504"/>
      <c r="AD18" s="504"/>
      <c r="AE18" s="504"/>
      <c r="AF18" s="504"/>
      <c r="AG18" s="505"/>
      <c r="AH18" s="505"/>
    </row>
    <row r="19" spans="2:34" ht="15" x14ac:dyDescent="0.25">
      <c r="B19" s="506" t="s">
        <v>126</v>
      </c>
      <c r="C19" s="501"/>
      <c r="D19" s="501"/>
      <c r="E19" s="501"/>
      <c r="F19" s="501"/>
      <c r="G19" s="501"/>
      <c r="H19" s="501"/>
      <c r="I19" s="501"/>
      <c r="J19" s="501"/>
      <c r="K19" s="501"/>
      <c r="L19" s="349"/>
      <c r="M19" s="349"/>
      <c r="N19" s="349"/>
      <c r="O19" s="349"/>
      <c r="P19" s="349"/>
      <c r="Q19" s="349"/>
      <c r="R19" s="349"/>
      <c r="S19" s="349"/>
      <c r="T19" s="349"/>
      <c r="U19" s="349"/>
      <c r="V19" s="502"/>
      <c r="W19" s="386"/>
      <c r="X19" s="503"/>
      <c r="Y19" s="503"/>
      <c r="Z19" s="503"/>
      <c r="AA19" s="503"/>
      <c r="AB19" s="503"/>
      <c r="AC19" s="504"/>
      <c r="AD19" s="504"/>
      <c r="AE19" s="504"/>
      <c r="AF19" s="504"/>
      <c r="AG19" s="505"/>
      <c r="AH19" s="505"/>
    </row>
    <row r="20" spans="2:34" ht="15" x14ac:dyDescent="0.25">
      <c r="B20" s="506" t="s">
        <v>127</v>
      </c>
      <c r="C20" s="501"/>
      <c r="D20" s="501"/>
      <c r="E20" s="501"/>
      <c r="F20" s="501"/>
      <c r="G20" s="501"/>
      <c r="H20" s="501"/>
      <c r="I20" s="501"/>
      <c r="J20" s="501"/>
      <c r="K20" s="501"/>
      <c r="L20" s="349"/>
      <c r="M20" s="349"/>
      <c r="N20" s="349"/>
      <c r="O20" s="349"/>
      <c r="P20" s="349"/>
      <c r="Q20" s="349"/>
      <c r="R20" s="349"/>
      <c r="S20" s="349"/>
      <c r="T20" s="349"/>
      <c r="U20" s="349"/>
      <c r="V20" s="502"/>
      <c r="W20" s="386"/>
      <c r="X20" s="503"/>
      <c r="Y20" s="503"/>
      <c r="Z20" s="503"/>
      <c r="AA20" s="503"/>
      <c r="AB20" s="503"/>
      <c r="AC20" s="504"/>
      <c r="AD20" s="504"/>
      <c r="AE20" s="504"/>
      <c r="AF20" s="504"/>
      <c r="AG20" s="505"/>
      <c r="AH20" s="505"/>
    </row>
    <row r="21" spans="2:34" ht="15" x14ac:dyDescent="0.25">
      <c r="B21" s="506" t="s">
        <v>128</v>
      </c>
      <c r="C21" s="501"/>
      <c r="D21" s="501"/>
      <c r="E21" s="501"/>
      <c r="F21" s="501"/>
      <c r="G21" s="501"/>
      <c r="H21" s="501"/>
      <c r="I21" s="501"/>
      <c r="J21" s="501"/>
      <c r="K21" s="501"/>
      <c r="L21" s="349"/>
      <c r="M21" s="349"/>
      <c r="N21" s="349"/>
      <c r="O21" s="349"/>
      <c r="P21" s="349"/>
      <c r="Q21" s="349"/>
      <c r="R21" s="349"/>
      <c r="S21" s="349"/>
      <c r="T21" s="349"/>
      <c r="U21" s="349"/>
      <c r="V21" s="502"/>
      <c r="W21" s="386"/>
      <c r="X21" s="503"/>
      <c r="Y21" s="503"/>
      <c r="Z21" s="503"/>
      <c r="AA21" s="503"/>
      <c r="AB21" s="503"/>
      <c r="AC21" s="504"/>
      <c r="AD21" s="504"/>
      <c r="AE21" s="504"/>
      <c r="AF21" s="504"/>
      <c r="AG21" s="505"/>
      <c r="AH21" s="505"/>
    </row>
    <row r="22" spans="2:34" ht="15" x14ac:dyDescent="0.25">
      <c r="B22" s="506" t="s">
        <v>129</v>
      </c>
      <c r="C22" s="501"/>
      <c r="D22" s="501"/>
      <c r="E22" s="501"/>
      <c r="F22" s="501"/>
      <c r="G22" s="501"/>
      <c r="H22" s="501"/>
      <c r="I22" s="501"/>
      <c r="J22" s="501"/>
      <c r="K22" s="501"/>
      <c r="L22" s="349"/>
      <c r="M22" s="349"/>
      <c r="N22" s="349"/>
      <c r="O22" s="349"/>
      <c r="P22" s="349"/>
      <c r="Q22" s="349"/>
      <c r="R22" s="349"/>
      <c r="S22" s="349"/>
      <c r="T22" s="349"/>
      <c r="U22" s="349"/>
      <c r="V22" s="502"/>
      <c r="W22" s="386"/>
      <c r="X22" s="503"/>
      <c r="Y22" s="503"/>
      <c r="Z22" s="503"/>
      <c r="AA22" s="503"/>
      <c r="AB22" s="503"/>
      <c r="AC22" s="504"/>
      <c r="AD22" s="504"/>
      <c r="AE22" s="504"/>
      <c r="AF22" s="504"/>
      <c r="AG22" s="505"/>
      <c r="AH22" s="505"/>
    </row>
    <row r="23" spans="2:34" ht="15" x14ac:dyDescent="0.25">
      <c r="B23" s="506" t="s">
        <v>130</v>
      </c>
      <c r="C23" s="501"/>
      <c r="D23" s="501"/>
      <c r="E23" s="501"/>
      <c r="F23" s="501"/>
      <c r="G23" s="501"/>
      <c r="H23" s="501"/>
      <c r="I23" s="501"/>
      <c r="J23" s="501"/>
      <c r="K23" s="501"/>
      <c r="L23" s="349"/>
      <c r="M23" s="349"/>
      <c r="N23" s="349"/>
      <c r="O23" s="349"/>
      <c r="P23" s="349"/>
      <c r="Q23" s="349"/>
      <c r="R23" s="349"/>
      <c r="S23" s="349"/>
      <c r="T23" s="349"/>
      <c r="U23" s="349"/>
      <c r="V23" s="502"/>
      <c r="W23" s="386"/>
      <c r="X23" s="503"/>
      <c r="Y23" s="503"/>
      <c r="Z23" s="503"/>
      <c r="AA23" s="503"/>
      <c r="AB23" s="503"/>
      <c r="AC23" s="504"/>
      <c r="AD23" s="504"/>
      <c r="AE23" s="504"/>
      <c r="AF23" s="504"/>
      <c r="AG23" s="505"/>
      <c r="AH23" s="505"/>
    </row>
    <row r="24" spans="2:34" ht="15" x14ac:dyDescent="0.25">
      <c r="B24" s="506" t="s">
        <v>131</v>
      </c>
      <c r="C24" s="501"/>
      <c r="D24" s="501"/>
      <c r="E24" s="501"/>
      <c r="F24" s="501"/>
      <c r="G24" s="501"/>
      <c r="H24" s="501"/>
      <c r="I24" s="501"/>
      <c r="J24" s="501"/>
      <c r="K24" s="501"/>
      <c r="L24" s="349"/>
      <c r="M24" s="349"/>
      <c r="N24" s="349"/>
      <c r="O24" s="349"/>
      <c r="P24" s="349"/>
      <c r="Q24" s="349"/>
      <c r="R24" s="349"/>
      <c r="S24" s="349"/>
      <c r="T24" s="349"/>
      <c r="U24" s="349"/>
      <c r="V24" s="502"/>
      <c r="W24" s="386"/>
      <c r="X24" s="503"/>
      <c r="Y24" s="503"/>
      <c r="Z24" s="503"/>
      <c r="AA24" s="503"/>
      <c r="AB24" s="503"/>
      <c r="AC24" s="504"/>
      <c r="AD24" s="504"/>
      <c r="AE24" s="504"/>
      <c r="AF24" s="504"/>
      <c r="AG24" s="505"/>
      <c r="AH24" s="505"/>
    </row>
    <row r="25" spans="2:34" ht="15" x14ac:dyDescent="0.25">
      <c r="B25" s="506" t="s">
        <v>132</v>
      </c>
      <c r="C25" s="501"/>
      <c r="D25" s="501"/>
      <c r="E25" s="501"/>
      <c r="F25" s="501"/>
      <c r="G25" s="501"/>
      <c r="H25" s="501"/>
      <c r="I25" s="501"/>
      <c r="J25" s="501"/>
      <c r="K25" s="501"/>
      <c r="L25" s="349"/>
      <c r="M25" s="349"/>
      <c r="N25" s="349"/>
      <c r="O25" s="349"/>
      <c r="P25" s="349"/>
      <c r="Q25" s="349"/>
      <c r="R25" s="349"/>
      <c r="S25" s="349"/>
      <c r="T25" s="349"/>
      <c r="U25" s="349"/>
      <c r="V25" s="502"/>
      <c r="W25" s="386"/>
      <c r="X25" s="503"/>
      <c r="Y25" s="503"/>
      <c r="Z25" s="503"/>
      <c r="AA25" s="503"/>
      <c r="AB25" s="503"/>
      <c r="AC25" s="504"/>
      <c r="AD25" s="504"/>
      <c r="AE25" s="504"/>
      <c r="AF25" s="504"/>
      <c r="AG25" s="505"/>
      <c r="AH25" s="505"/>
    </row>
    <row r="26" spans="2:34" ht="15" x14ac:dyDescent="0.25">
      <c r="B26" s="506" t="s">
        <v>133</v>
      </c>
      <c r="C26" s="501"/>
      <c r="D26" s="501"/>
      <c r="E26" s="501"/>
      <c r="F26" s="501"/>
      <c r="G26" s="501"/>
      <c r="H26" s="501"/>
      <c r="I26" s="501"/>
      <c r="J26" s="501"/>
      <c r="K26" s="501"/>
      <c r="L26" s="349"/>
      <c r="M26" s="349"/>
      <c r="N26" s="349"/>
      <c r="O26" s="349"/>
      <c r="P26" s="349"/>
      <c r="Q26" s="349"/>
      <c r="R26" s="349"/>
      <c r="S26" s="349"/>
      <c r="T26" s="349"/>
      <c r="U26" s="349"/>
      <c r="V26" s="502"/>
      <c r="W26" s="386"/>
      <c r="X26" s="503"/>
      <c r="Y26" s="503"/>
      <c r="Z26" s="503"/>
      <c r="AA26" s="503"/>
      <c r="AB26" s="503"/>
      <c r="AC26" s="504"/>
      <c r="AD26" s="504"/>
      <c r="AE26" s="504"/>
      <c r="AF26" s="504"/>
      <c r="AG26" s="505"/>
      <c r="AH26" s="505"/>
    </row>
    <row r="27" spans="2:34" ht="15" x14ac:dyDescent="0.25">
      <c r="B27" s="506" t="s">
        <v>134</v>
      </c>
      <c r="C27" s="501"/>
      <c r="D27" s="501"/>
      <c r="E27" s="501"/>
      <c r="F27" s="501"/>
      <c r="G27" s="501"/>
      <c r="H27" s="501"/>
      <c r="I27" s="501"/>
      <c r="J27" s="501"/>
      <c r="K27" s="501"/>
      <c r="L27" s="349"/>
      <c r="M27" s="349"/>
      <c r="N27" s="349"/>
      <c r="O27" s="349"/>
      <c r="P27" s="349"/>
      <c r="Q27" s="349"/>
      <c r="R27" s="349"/>
      <c r="S27" s="349"/>
      <c r="T27" s="349"/>
      <c r="U27" s="349"/>
      <c r="V27" s="502"/>
      <c r="W27" s="386"/>
      <c r="X27" s="503"/>
      <c r="Y27" s="503"/>
      <c r="Z27" s="503"/>
      <c r="AA27" s="503"/>
      <c r="AB27" s="503"/>
      <c r="AC27" s="504"/>
      <c r="AD27" s="504"/>
      <c r="AE27" s="504"/>
      <c r="AF27" s="504"/>
      <c r="AG27" s="505"/>
      <c r="AH27" s="505"/>
    </row>
    <row r="28" spans="2:34" ht="15" x14ac:dyDescent="0.25">
      <c r="B28" s="506" t="s">
        <v>135</v>
      </c>
      <c r="C28" s="501"/>
      <c r="D28" s="501"/>
      <c r="E28" s="501"/>
      <c r="F28" s="501"/>
      <c r="G28" s="501"/>
      <c r="H28" s="501"/>
      <c r="I28" s="501"/>
      <c r="J28" s="501"/>
      <c r="K28" s="501"/>
      <c r="L28" s="349"/>
      <c r="M28" s="349"/>
      <c r="N28" s="349"/>
      <c r="O28" s="349"/>
      <c r="P28" s="349"/>
      <c r="Q28" s="349"/>
      <c r="R28" s="349"/>
      <c r="S28" s="349"/>
      <c r="T28" s="349"/>
      <c r="U28" s="349"/>
      <c r="V28" s="502"/>
      <c r="W28" s="386"/>
      <c r="X28" s="503"/>
      <c r="Y28" s="503"/>
      <c r="Z28" s="503"/>
      <c r="AA28" s="503"/>
      <c r="AB28" s="503"/>
      <c r="AC28" s="504"/>
      <c r="AD28" s="504"/>
      <c r="AE28" s="504"/>
      <c r="AF28" s="504"/>
      <c r="AG28" s="505"/>
      <c r="AH28" s="505"/>
    </row>
    <row r="29" spans="2:34" ht="15" x14ac:dyDescent="0.25">
      <c r="B29" s="506" t="s">
        <v>136</v>
      </c>
      <c r="C29" s="501"/>
      <c r="D29" s="501"/>
      <c r="E29" s="501"/>
      <c r="F29" s="501"/>
      <c r="G29" s="501"/>
      <c r="H29" s="501"/>
      <c r="I29" s="501"/>
      <c r="J29" s="501"/>
      <c r="K29" s="501"/>
      <c r="L29" s="349"/>
      <c r="M29" s="349"/>
      <c r="N29" s="349"/>
      <c r="O29" s="349"/>
      <c r="P29" s="349"/>
      <c r="Q29" s="349"/>
      <c r="R29" s="349"/>
      <c r="S29" s="349"/>
      <c r="T29" s="349"/>
      <c r="U29" s="349"/>
      <c r="V29" s="502"/>
      <c r="W29" s="386"/>
      <c r="X29" s="503"/>
      <c r="Y29" s="503"/>
      <c r="Z29" s="503"/>
      <c r="AA29" s="503"/>
      <c r="AB29" s="503"/>
      <c r="AC29" s="504"/>
      <c r="AD29" s="504"/>
      <c r="AE29" s="504"/>
      <c r="AF29" s="504"/>
      <c r="AG29" s="505"/>
      <c r="AH29" s="505"/>
    </row>
    <row r="30" spans="2:34" ht="15" x14ac:dyDescent="0.25">
      <c r="B30" s="506" t="s">
        <v>137</v>
      </c>
      <c r="C30" s="501"/>
      <c r="D30" s="501"/>
      <c r="E30" s="501"/>
      <c r="F30" s="501"/>
      <c r="G30" s="501"/>
      <c r="H30" s="501"/>
      <c r="I30" s="501"/>
      <c r="J30" s="501"/>
      <c r="K30" s="501"/>
      <c r="L30" s="349"/>
      <c r="M30" s="349"/>
      <c r="N30" s="349"/>
      <c r="O30" s="349"/>
      <c r="P30" s="349"/>
      <c r="Q30" s="349"/>
      <c r="R30" s="349"/>
      <c r="S30" s="349"/>
      <c r="T30" s="349"/>
      <c r="U30" s="349"/>
      <c r="V30" s="502"/>
      <c r="W30" s="386"/>
      <c r="X30" s="503"/>
      <c r="Y30" s="503"/>
      <c r="Z30" s="503"/>
      <c r="AA30" s="503"/>
      <c r="AB30" s="503"/>
      <c r="AC30" s="504"/>
      <c r="AD30" s="504"/>
      <c r="AE30" s="504"/>
      <c r="AF30" s="504"/>
      <c r="AG30" s="505"/>
      <c r="AH30" s="505"/>
    </row>
    <row r="31" spans="2:34" ht="15" x14ac:dyDescent="0.25">
      <c r="B31" s="506" t="s">
        <v>138</v>
      </c>
      <c r="C31" s="501"/>
      <c r="D31" s="501"/>
      <c r="E31" s="501"/>
      <c r="F31" s="501"/>
      <c r="G31" s="501"/>
      <c r="H31" s="501"/>
      <c r="I31" s="501"/>
      <c r="J31" s="501"/>
      <c r="K31" s="501"/>
      <c r="L31" s="349"/>
      <c r="M31" s="349"/>
      <c r="N31" s="349"/>
      <c r="O31" s="349"/>
      <c r="P31" s="349"/>
      <c r="Q31" s="349"/>
      <c r="R31" s="349"/>
      <c r="S31" s="349"/>
      <c r="T31" s="349"/>
      <c r="U31" s="349"/>
      <c r="V31" s="502"/>
      <c r="W31" s="386"/>
      <c r="X31" s="503"/>
      <c r="Y31" s="503"/>
      <c r="Z31" s="503"/>
      <c r="AA31" s="503"/>
      <c r="AB31" s="503"/>
      <c r="AC31" s="504"/>
      <c r="AD31" s="504"/>
      <c r="AE31" s="504"/>
      <c r="AF31" s="504"/>
      <c r="AG31" s="505"/>
      <c r="AH31" s="505"/>
    </row>
    <row r="32" spans="2:34" ht="15" x14ac:dyDescent="0.25">
      <c r="B32" s="506" t="s">
        <v>139</v>
      </c>
      <c r="C32" s="501"/>
      <c r="D32" s="501"/>
      <c r="E32" s="501"/>
      <c r="F32" s="501"/>
      <c r="G32" s="501"/>
      <c r="H32" s="501"/>
      <c r="I32" s="501"/>
      <c r="J32" s="501"/>
      <c r="K32" s="501"/>
      <c r="L32" s="349"/>
      <c r="M32" s="349"/>
      <c r="N32" s="349"/>
      <c r="O32" s="349"/>
      <c r="P32" s="349"/>
      <c r="Q32" s="349"/>
      <c r="R32" s="349"/>
      <c r="S32" s="349"/>
      <c r="T32" s="349"/>
      <c r="U32" s="349"/>
      <c r="V32" s="502"/>
      <c r="W32" s="386"/>
      <c r="X32" s="503"/>
      <c r="Y32" s="503"/>
      <c r="Z32" s="503"/>
      <c r="AA32" s="503"/>
      <c r="AB32" s="503"/>
      <c r="AC32" s="504"/>
      <c r="AD32" s="504"/>
      <c r="AE32" s="504"/>
      <c r="AF32" s="504"/>
      <c r="AG32" s="505"/>
      <c r="AH32" s="505"/>
    </row>
    <row r="33" spans="2:34" ht="15" x14ac:dyDescent="0.25">
      <c r="B33" s="506" t="s">
        <v>140</v>
      </c>
      <c r="C33" s="501"/>
      <c r="D33" s="501"/>
      <c r="E33" s="501"/>
      <c r="F33" s="501"/>
      <c r="G33" s="501"/>
      <c r="H33" s="501"/>
      <c r="I33" s="501"/>
      <c r="J33" s="501"/>
      <c r="K33" s="501"/>
      <c r="L33" s="349"/>
      <c r="M33" s="349"/>
      <c r="N33" s="349"/>
      <c r="O33" s="349"/>
      <c r="P33" s="349"/>
      <c r="Q33" s="349"/>
      <c r="R33" s="349"/>
      <c r="S33" s="349"/>
      <c r="T33" s="349"/>
      <c r="U33" s="349"/>
      <c r="V33" s="502"/>
      <c r="W33" s="386"/>
      <c r="X33" s="503"/>
      <c r="Y33" s="503"/>
      <c r="Z33" s="503"/>
      <c r="AA33" s="503"/>
      <c r="AB33" s="503"/>
      <c r="AC33" s="504"/>
      <c r="AD33" s="504"/>
      <c r="AE33" s="504"/>
      <c r="AF33" s="504"/>
      <c r="AG33" s="505"/>
      <c r="AH33" s="505"/>
    </row>
    <row r="34" spans="2:34" ht="15" x14ac:dyDescent="0.25">
      <c r="B34" s="506" t="s">
        <v>141</v>
      </c>
      <c r="C34" s="501"/>
      <c r="D34" s="501"/>
      <c r="E34" s="501"/>
      <c r="F34" s="501"/>
      <c r="G34" s="501"/>
      <c r="H34" s="501"/>
      <c r="I34" s="501"/>
      <c r="J34" s="501"/>
      <c r="K34" s="501"/>
      <c r="L34" s="349"/>
      <c r="M34" s="349"/>
      <c r="N34" s="349"/>
      <c r="O34" s="349"/>
      <c r="P34" s="349"/>
      <c r="Q34" s="349"/>
      <c r="R34" s="349"/>
      <c r="S34" s="349"/>
      <c r="T34" s="349"/>
      <c r="U34" s="349"/>
      <c r="V34" s="502"/>
      <c r="W34" s="386"/>
      <c r="X34" s="503"/>
      <c r="Y34" s="503"/>
      <c r="Z34" s="503"/>
      <c r="AA34" s="503"/>
      <c r="AB34" s="503"/>
      <c r="AC34" s="504"/>
      <c r="AD34" s="504"/>
      <c r="AE34" s="504"/>
      <c r="AF34" s="504"/>
      <c r="AG34" s="505"/>
      <c r="AH34" s="505"/>
    </row>
    <row r="35" spans="2:34" ht="15" x14ac:dyDescent="0.25">
      <c r="B35" s="506" t="s">
        <v>142</v>
      </c>
      <c r="C35" s="501"/>
      <c r="D35" s="501"/>
      <c r="E35" s="501"/>
      <c r="F35" s="501"/>
      <c r="G35" s="501"/>
      <c r="H35" s="501"/>
      <c r="I35" s="501"/>
      <c r="J35" s="501"/>
      <c r="K35" s="501"/>
      <c r="L35" s="349"/>
      <c r="M35" s="349"/>
      <c r="N35" s="349"/>
      <c r="O35" s="349"/>
      <c r="P35" s="349"/>
      <c r="Q35" s="349"/>
      <c r="R35" s="349"/>
      <c r="S35" s="349"/>
      <c r="T35" s="349"/>
      <c r="U35" s="349"/>
      <c r="V35" s="502"/>
      <c r="W35" s="386"/>
      <c r="X35" s="503"/>
      <c r="Y35" s="503"/>
      <c r="Z35" s="503"/>
      <c r="AA35" s="503"/>
      <c r="AB35" s="503"/>
      <c r="AC35" s="504"/>
      <c r="AD35" s="504"/>
      <c r="AE35" s="504"/>
      <c r="AF35" s="504"/>
      <c r="AG35" s="505"/>
      <c r="AH35" s="505"/>
    </row>
    <row r="36" spans="2:34" ht="15" x14ac:dyDescent="0.25">
      <c r="B36" s="506" t="s">
        <v>143</v>
      </c>
      <c r="C36" s="501"/>
      <c r="D36" s="501"/>
      <c r="E36" s="501"/>
      <c r="F36" s="501"/>
      <c r="G36" s="501"/>
      <c r="H36" s="501"/>
      <c r="I36" s="501"/>
      <c r="J36" s="501"/>
      <c r="K36" s="501"/>
      <c r="L36" s="349"/>
      <c r="M36" s="349"/>
      <c r="N36" s="349"/>
      <c r="O36" s="349"/>
      <c r="P36" s="349"/>
      <c r="Q36" s="349"/>
      <c r="R36" s="349"/>
      <c r="S36" s="349"/>
      <c r="T36" s="349"/>
      <c r="U36" s="349"/>
      <c r="V36" s="502"/>
      <c r="W36" s="386"/>
      <c r="X36" s="503"/>
      <c r="Y36" s="503"/>
      <c r="Z36" s="503"/>
      <c r="AA36" s="503"/>
      <c r="AB36" s="503"/>
      <c r="AC36" s="504"/>
      <c r="AD36" s="504"/>
      <c r="AE36" s="504"/>
      <c r="AF36" s="504"/>
      <c r="AG36" s="505"/>
      <c r="AH36" s="505"/>
    </row>
    <row r="37" spans="2:34" ht="15" x14ac:dyDescent="0.25">
      <c r="B37" s="506" t="s">
        <v>144</v>
      </c>
      <c r="C37" s="501"/>
      <c r="D37" s="501"/>
      <c r="E37" s="501"/>
      <c r="F37" s="501"/>
      <c r="G37" s="501"/>
      <c r="H37" s="501"/>
      <c r="I37" s="501"/>
      <c r="J37" s="501"/>
      <c r="K37" s="501"/>
      <c r="L37" s="349"/>
      <c r="M37" s="349"/>
      <c r="N37" s="349"/>
      <c r="O37" s="349"/>
      <c r="P37" s="349"/>
      <c r="Q37" s="349"/>
      <c r="R37" s="349"/>
      <c r="S37" s="349"/>
      <c r="T37" s="349"/>
      <c r="U37" s="349"/>
      <c r="V37" s="502"/>
      <c r="W37" s="386"/>
      <c r="X37" s="503"/>
      <c r="Y37" s="503"/>
      <c r="Z37" s="503"/>
      <c r="AA37" s="503"/>
      <c r="AB37" s="503"/>
      <c r="AC37" s="504"/>
      <c r="AD37" s="504"/>
      <c r="AE37" s="504"/>
      <c r="AF37" s="504"/>
      <c r="AG37" s="505"/>
      <c r="AH37" s="505"/>
    </row>
    <row r="38" spans="2:34" ht="15" x14ac:dyDescent="0.25">
      <c r="B38" s="506" t="s">
        <v>145</v>
      </c>
      <c r="C38" s="501"/>
      <c r="D38" s="501"/>
      <c r="E38" s="501"/>
      <c r="F38" s="501"/>
      <c r="G38" s="501"/>
      <c r="H38" s="501"/>
      <c r="I38" s="501"/>
      <c r="J38" s="501"/>
      <c r="K38" s="501"/>
      <c r="L38" s="349"/>
      <c r="M38" s="349"/>
      <c r="N38" s="349"/>
      <c r="O38" s="349"/>
      <c r="P38" s="349"/>
      <c r="Q38" s="349"/>
      <c r="R38" s="349"/>
      <c r="S38" s="349"/>
      <c r="T38" s="349"/>
      <c r="U38" s="349"/>
      <c r="V38" s="502"/>
      <c r="W38" s="386"/>
      <c r="X38" s="503"/>
      <c r="Y38" s="503"/>
      <c r="Z38" s="503"/>
      <c r="AA38" s="503"/>
      <c r="AB38" s="503"/>
      <c r="AC38" s="504"/>
      <c r="AD38" s="504"/>
      <c r="AE38" s="504"/>
      <c r="AF38" s="504"/>
      <c r="AG38" s="505"/>
      <c r="AH38" s="505"/>
    </row>
    <row r="39" spans="2:34" ht="15" x14ac:dyDescent="0.25">
      <c r="B39" s="506" t="s">
        <v>146</v>
      </c>
      <c r="C39" s="501"/>
      <c r="D39" s="501"/>
      <c r="E39" s="501"/>
      <c r="F39" s="501"/>
      <c r="G39" s="501"/>
      <c r="H39" s="501"/>
      <c r="I39" s="501"/>
      <c r="J39" s="501"/>
      <c r="K39" s="501"/>
      <c r="L39" s="349"/>
      <c r="M39" s="349"/>
      <c r="N39" s="349"/>
      <c r="O39" s="349"/>
      <c r="P39" s="349"/>
      <c r="Q39" s="349"/>
      <c r="R39" s="349"/>
      <c r="S39" s="349"/>
      <c r="T39" s="349"/>
      <c r="U39" s="349"/>
      <c r="V39" s="502"/>
      <c r="W39" s="386"/>
      <c r="X39" s="503"/>
      <c r="Y39" s="503"/>
      <c r="Z39" s="503"/>
      <c r="AA39" s="503"/>
      <c r="AB39" s="503"/>
      <c r="AC39" s="504"/>
      <c r="AD39" s="504"/>
      <c r="AE39" s="504"/>
      <c r="AF39" s="504"/>
      <c r="AG39" s="505"/>
      <c r="AH39" s="505"/>
    </row>
    <row r="40" spans="2:34" ht="15" x14ac:dyDescent="0.25">
      <c r="B40" s="506" t="s">
        <v>147</v>
      </c>
      <c r="C40" s="501"/>
      <c r="D40" s="501"/>
      <c r="E40" s="501"/>
      <c r="F40" s="501"/>
      <c r="G40" s="501"/>
      <c r="H40" s="501"/>
      <c r="I40" s="501"/>
      <c r="J40" s="501"/>
      <c r="K40" s="501"/>
      <c r="L40" s="349"/>
      <c r="M40" s="349"/>
      <c r="N40" s="349"/>
      <c r="O40" s="349"/>
      <c r="P40" s="349"/>
      <c r="Q40" s="349"/>
      <c r="R40" s="349"/>
      <c r="S40" s="349"/>
      <c r="T40" s="349"/>
      <c r="U40" s="349"/>
      <c r="V40" s="502"/>
      <c r="W40" s="386"/>
      <c r="X40" s="503"/>
      <c r="Y40" s="503"/>
      <c r="Z40" s="503"/>
      <c r="AA40" s="503"/>
      <c r="AB40" s="503"/>
      <c r="AC40" s="504"/>
      <c r="AD40" s="504"/>
      <c r="AE40" s="504"/>
      <c r="AF40" s="504"/>
      <c r="AG40" s="505"/>
      <c r="AH40" s="505"/>
    </row>
    <row r="41" spans="2:34" ht="15" x14ac:dyDescent="0.25">
      <c r="B41" s="506" t="s">
        <v>148</v>
      </c>
      <c r="C41" s="501"/>
      <c r="D41" s="501"/>
      <c r="E41" s="501"/>
      <c r="F41" s="501"/>
      <c r="G41" s="501"/>
      <c r="H41" s="501"/>
      <c r="I41" s="501"/>
      <c r="J41" s="501"/>
      <c r="K41" s="501"/>
      <c r="L41" s="349"/>
      <c r="M41" s="349"/>
      <c r="N41" s="349"/>
      <c r="O41" s="349"/>
      <c r="P41" s="349"/>
      <c r="Q41" s="349"/>
      <c r="R41" s="349"/>
      <c r="S41" s="349"/>
      <c r="T41" s="349"/>
      <c r="U41" s="349"/>
      <c r="V41" s="502"/>
      <c r="W41" s="386"/>
      <c r="X41" s="503"/>
      <c r="Y41" s="503"/>
      <c r="Z41" s="503"/>
      <c r="AA41" s="503"/>
      <c r="AB41" s="503"/>
      <c r="AC41" s="504"/>
      <c r="AD41" s="504"/>
      <c r="AE41" s="504"/>
      <c r="AF41" s="504"/>
      <c r="AG41" s="505"/>
      <c r="AH41" s="505"/>
    </row>
    <row r="42" spans="2:34" ht="15" x14ac:dyDescent="0.25">
      <c r="B42" s="506" t="s">
        <v>149</v>
      </c>
      <c r="C42" s="501"/>
      <c r="D42" s="501"/>
      <c r="E42" s="501"/>
      <c r="F42" s="501"/>
      <c r="G42" s="501"/>
      <c r="H42" s="501"/>
      <c r="I42" s="501"/>
      <c r="J42" s="501"/>
      <c r="K42" s="501"/>
      <c r="L42" s="349"/>
      <c r="M42" s="349"/>
      <c r="N42" s="349"/>
      <c r="O42" s="349"/>
      <c r="P42" s="349"/>
      <c r="Q42" s="349"/>
      <c r="R42" s="349"/>
      <c r="S42" s="349"/>
      <c r="T42" s="349"/>
      <c r="U42" s="349"/>
      <c r="V42" s="502"/>
      <c r="W42" s="386"/>
      <c r="X42" s="503"/>
      <c r="Y42" s="503"/>
      <c r="Z42" s="503"/>
      <c r="AA42" s="503"/>
      <c r="AB42" s="503"/>
      <c r="AC42" s="504"/>
      <c r="AD42" s="504"/>
      <c r="AE42" s="504"/>
      <c r="AF42" s="504"/>
      <c r="AG42" s="505"/>
      <c r="AH42" s="505"/>
    </row>
    <row r="43" spans="2:34" ht="15" x14ac:dyDescent="0.25">
      <c r="B43" s="506" t="s">
        <v>150</v>
      </c>
      <c r="C43" s="501"/>
      <c r="D43" s="501"/>
      <c r="E43" s="501"/>
      <c r="F43" s="501"/>
      <c r="G43" s="501"/>
      <c r="H43" s="501"/>
      <c r="I43" s="501"/>
      <c r="J43" s="501"/>
      <c r="K43" s="501"/>
      <c r="L43" s="349"/>
      <c r="M43" s="349"/>
      <c r="N43" s="349"/>
      <c r="O43" s="349"/>
      <c r="P43" s="349"/>
      <c r="Q43" s="349"/>
      <c r="R43" s="349"/>
      <c r="S43" s="349"/>
      <c r="T43" s="349"/>
      <c r="U43" s="349"/>
      <c r="V43" s="502"/>
      <c r="W43" s="386"/>
      <c r="X43" s="503"/>
      <c r="Y43" s="503"/>
      <c r="Z43" s="503"/>
      <c r="AA43" s="503"/>
      <c r="AB43" s="503"/>
      <c r="AC43" s="504"/>
      <c r="AD43" s="504"/>
      <c r="AE43" s="504"/>
      <c r="AF43" s="504"/>
      <c r="AG43" s="505"/>
      <c r="AH43" s="505"/>
    </row>
    <row r="44" spans="2:34" ht="15" x14ac:dyDescent="0.25">
      <c r="B44" s="506" t="s">
        <v>151</v>
      </c>
      <c r="C44" s="501"/>
      <c r="D44" s="501"/>
      <c r="E44" s="501"/>
      <c r="F44" s="501"/>
      <c r="G44" s="501"/>
      <c r="H44" s="501"/>
      <c r="I44" s="501"/>
      <c r="J44" s="501"/>
      <c r="K44" s="501"/>
      <c r="L44" s="349"/>
      <c r="M44" s="349"/>
      <c r="N44" s="349"/>
      <c r="O44" s="349"/>
      <c r="P44" s="349"/>
      <c r="Q44" s="349"/>
      <c r="R44" s="349"/>
      <c r="S44" s="349"/>
      <c r="T44" s="349"/>
      <c r="U44" s="349"/>
      <c r="V44" s="502"/>
      <c r="W44" s="386"/>
      <c r="X44" s="503"/>
      <c r="Y44" s="503"/>
      <c r="Z44" s="503"/>
      <c r="AA44" s="503"/>
      <c r="AB44" s="503"/>
      <c r="AC44" s="504"/>
      <c r="AD44" s="504"/>
      <c r="AE44" s="504"/>
      <c r="AF44" s="504"/>
      <c r="AG44" s="505"/>
      <c r="AH44" s="505"/>
    </row>
    <row r="45" spans="2:34" ht="15" x14ac:dyDescent="0.25">
      <c r="B45" s="506" t="s">
        <v>152</v>
      </c>
      <c r="C45" s="501"/>
      <c r="D45" s="501"/>
      <c r="E45" s="501"/>
      <c r="F45" s="501"/>
      <c r="G45" s="501"/>
      <c r="H45" s="501"/>
      <c r="I45" s="501"/>
      <c r="J45" s="501"/>
      <c r="K45" s="501"/>
      <c r="L45" s="349"/>
      <c r="M45" s="349"/>
      <c r="N45" s="349"/>
      <c r="O45" s="349"/>
      <c r="P45" s="349"/>
      <c r="Q45" s="349"/>
      <c r="R45" s="349"/>
      <c r="S45" s="349"/>
      <c r="T45" s="349"/>
      <c r="U45" s="349"/>
      <c r="V45" s="502"/>
      <c r="W45" s="386"/>
      <c r="X45" s="503"/>
      <c r="Y45" s="503"/>
      <c r="Z45" s="503"/>
      <c r="AA45" s="503"/>
      <c r="AB45" s="503"/>
      <c r="AC45" s="504"/>
      <c r="AD45" s="504"/>
      <c r="AE45" s="504"/>
      <c r="AF45" s="504"/>
      <c r="AG45" s="505"/>
      <c r="AH45" s="505"/>
    </row>
    <row r="46" spans="2:34" ht="15" x14ac:dyDescent="0.25">
      <c r="B46" s="506" t="s">
        <v>153</v>
      </c>
      <c r="C46" s="501"/>
      <c r="D46" s="501"/>
      <c r="E46" s="501"/>
      <c r="F46" s="501"/>
      <c r="G46" s="501"/>
      <c r="H46" s="501"/>
      <c r="I46" s="501"/>
      <c r="J46" s="501"/>
      <c r="K46" s="501"/>
      <c r="L46" s="349"/>
      <c r="M46" s="349"/>
      <c r="N46" s="349"/>
      <c r="O46" s="349"/>
      <c r="P46" s="349"/>
      <c r="Q46" s="349"/>
      <c r="R46" s="349"/>
      <c r="S46" s="349"/>
      <c r="T46" s="349"/>
      <c r="U46" s="349"/>
      <c r="V46" s="502"/>
      <c r="W46" s="386"/>
      <c r="X46" s="503"/>
      <c r="Y46" s="503"/>
      <c r="Z46" s="503"/>
      <c r="AA46" s="503"/>
      <c r="AB46" s="503"/>
      <c r="AC46" s="504"/>
      <c r="AD46" s="504"/>
      <c r="AE46" s="504"/>
      <c r="AF46" s="504"/>
      <c r="AG46" s="505"/>
      <c r="AH46" s="505"/>
    </row>
    <row r="47" spans="2:34" ht="15" x14ac:dyDescent="0.25">
      <c r="B47" s="506" t="s">
        <v>154</v>
      </c>
      <c r="C47" s="501"/>
      <c r="D47" s="501"/>
      <c r="E47" s="501"/>
      <c r="F47" s="501"/>
      <c r="G47" s="501"/>
      <c r="H47" s="501"/>
      <c r="I47" s="501"/>
      <c r="J47" s="501"/>
      <c r="K47" s="501"/>
      <c r="L47" s="349"/>
      <c r="M47" s="349"/>
      <c r="N47" s="349"/>
      <c r="O47" s="349"/>
      <c r="P47" s="349"/>
      <c r="Q47" s="349"/>
      <c r="R47" s="349"/>
      <c r="S47" s="349"/>
      <c r="T47" s="349"/>
      <c r="U47" s="349"/>
      <c r="V47" s="502"/>
      <c r="W47" s="386"/>
      <c r="X47" s="503"/>
      <c r="Y47" s="503"/>
      <c r="Z47" s="503"/>
      <c r="AA47" s="503"/>
      <c r="AB47" s="503"/>
      <c r="AC47" s="504"/>
      <c r="AD47" s="504"/>
      <c r="AE47" s="504"/>
      <c r="AF47" s="504"/>
      <c r="AG47" s="505"/>
      <c r="AH47" s="505"/>
    </row>
    <row r="48" spans="2:34" ht="15" x14ac:dyDescent="0.25">
      <c r="B48" s="506" t="s">
        <v>155</v>
      </c>
      <c r="C48" s="501"/>
      <c r="D48" s="501"/>
      <c r="E48" s="501"/>
      <c r="F48" s="501"/>
      <c r="G48" s="501"/>
      <c r="H48" s="501"/>
      <c r="I48" s="501"/>
      <c r="J48" s="501"/>
      <c r="K48" s="501"/>
      <c r="L48" s="349"/>
      <c r="M48" s="349"/>
      <c r="N48" s="349"/>
      <c r="O48" s="349"/>
      <c r="P48" s="349"/>
      <c r="Q48" s="349"/>
      <c r="R48" s="349"/>
      <c r="S48" s="349"/>
      <c r="T48" s="349"/>
      <c r="U48" s="349"/>
      <c r="V48" s="502"/>
      <c r="W48" s="386"/>
      <c r="X48" s="503"/>
      <c r="Y48" s="503"/>
      <c r="Z48" s="503"/>
      <c r="AA48" s="503"/>
      <c r="AB48" s="503"/>
      <c r="AC48" s="504"/>
      <c r="AD48" s="504"/>
      <c r="AE48" s="504"/>
      <c r="AF48" s="504"/>
      <c r="AG48" s="505"/>
      <c r="AH48" s="505"/>
    </row>
    <row r="49" spans="2:34" ht="15" x14ac:dyDescent="0.25">
      <c r="B49" s="506" t="s">
        <v>156</v>
      </c>
      <c r="C49" s="501"/>
      <c r="D49" s="501"/>
      <c r="E49" s="501"/>
      <c r="F49" s="501"/>
      <c r="G49" s="501"/>
      <c r="H49" s="501"/>
      <c r="I49" s="501"/>
      <c r="J49" s="501"/>
      <c r="K49" s="501"/>
      <c r="L49" s="349"/>
      <c r="M49" s="349"/>
      <c r="N49" s="349"/>
      <c r="O49" s="349"/>
      <c r="P49" s="349"/>
      <c r="Q49" s="349"/>
      <c r="R49" s="349"/>
      <c r="S49" s="349"/>
      <c r="T49" s="349"/>
      <c r="U49" s="349"/>
      <c r="V49" s="502"/>
      <c r="W49" s="386"/>
      <c r="X49" s="503"/>
      <c r="Y49" s="503"/>
      <c r="Z49" s="503"/>
      <c r="AA49" s="503"/>
      <c r="AB49" s="503"/>
      <c r="AC49" s="504"/>
      <c r="AD49" s="504"/>
      <c r="AE49" s="504"/>
      <c r="AF49" s="504"/>
      <c r="AG49" s="505"/>
      <c r="AH49" s="505"/>
    </row>
    <row r="50" spans="2:34" ht="15" x14ac:dyDescent="0.25">
      <c r="B50" s="506" t="s">
        <v>157</v>
      </c>
      <c r="C50" s="501"/>
      <c r="D50" s="501"/>
      <c r="E50" s="501"/>
      <c r="F50" s="501"/>
      <c r="G50" s="501"/>
      <c r="H50" s="501"/>
      <c r="I50" s="501"/>
      <c r="J50" s="501"/>
      <c r="K50" s="501"/>
      <c r="L50" s="349"/>
      <c r="M50" s="349"/>
      <c r="N50" s="349"/>
      <c r="O50" s="349"/>
      <c r="P50" s="349"/>
      <c r="Q50" s="349"/>
      <c r="R50" s="349"/>
      <c r="S50" s="349"/>
      <c r="T50" s="349"/>
      <c r="U50" s="349"/>
      <c r="V50" s="502"/>
      <c r="W50" s="386"/>
      <c r="X50" s="503"/>
      <c r="Y50" s="503"/>
      <c r="Z50" s="503"/>
      <c r="AA50" s="503"/>
      <c r="AB50" s="503"/>
      <c r="AC50" s="504"/>
      <c r="AD50" s="504"/>
      <c r="AE50" s="504"/>
      <c r="AF50" s="504"/>
      <c r="AG50" s="505"/>
      <c r="AH50" s="505"/>
    </row>
    <row r="51" spans="2:34" ht="15" x14ac:dyDescent="0.25">
      <c r="B51" s="506" t="s">
        <v>158</v>
      </c>
      <c r="C51" s="501"/>
      <c r="D51" s="501"/>
      <c r="E51" s="501"/>
      <c r="F51" s="501"/>
      <c r="G51" s="501"/>
      <c r="H51" s="501"/>
      <c r="I51" s="501"/>
      <c r="J51" s="501"/>
      <c r="K51" s="501"/>
      <c r="L51" s="349"/>
      <c r="M51" s="349"/>
      <c r="N51" s="349"/>
      <c r="O51" s="349"/>
      <c r="P51" s="349"/>
      <c r="Q51" s="349"/>
      <c r="R51" s="349"/>
      <c r="S51" s="349"/>
      <c r="T51" s="349"/>
      <c r="U51" s="349"/>
      <c r="V51" s="502"/>
      <c r="W51" s="386"/>
      <c r="X51" s="503"/>
      <c r="Y51" s="503"/>
      <c r="Z51" s="503"/>
      <c r="AA51" s="503"/>
      <c r="AB51" s="503"/>
      <c r="AC51" s="504"/>
      <c r="AD51" s="504"/>
      <c r="AE51" s="504"/>
      <c r="AF51" s="504"/>
      <c r="AG51" s="505"/>
      <c r="AH51" s="505"/>
    </row>
    <row r="52" spans="2:34" ht="15" x14ac:dyDescent="0.25">
      <c r="B52" s="506" t="s">
        <v>159</v>
      </c>
      <c r="C52" s="501"/>
      <c r="D52" s="501"/>
      <c r="E52" s="501"/>
      <c r="F52" s="501"/>
      <c r="G52" s="501"/>
      <c r="H52" s="501"/>
      <c r="I52" s="501"/>
      <c r="J52" s="501"/>
      <c r="K52" s="501"/>
      <c r="L52" s="349"/>
      <c r="M52" s="349"/>
      <c r="N52" s="349"/>
      <c r="O52" s="349"/>
      <c r="P52" s="349"/>
      <c r="Q52" s="349"/>
      <c r="R52" s="349"/>
      <c r="S52" s="349"/>
      <c r="T52" s="349"/>
      <c r="U52" s="349"/>
      <c r="V52" s="502"/>
      <c r="W52" s="386"/>
      <c r="X52" s="503"/>
      <c r="Y52" s="503"/>
      <c r="Z52" s="503"/>
      <c r="AA52" s="503"/>
      <c r="AB52" s="503"/>
      <c r="AC52" s="504"/>
      <c r="AD52" s="504"/>
      <c r="AE52" s="504"/>
      <c r="AF52" s="504"/>
      <c r="AG52" s="505"/>
      <c r="AH52" s="505"/>
    </row>
    <row r="53" spans="2:34" ht="15" x14ac:dyDescent="0.25">
      <c r="B53" s="506" t="s">
        <v>160</v>
      </c>
      <c r="C53" s="501"/>
      <c r="D53" s="501"/>
      <c r="E53" s="501"/>
      <c r="F53" s="501"/>
      <c r="G53" s="501"/>
      <c r="H53" s="501"/>
      <c r="I53" s="501"/>
      <c r="J53" s="501"/>
      <c r="K53" s="501"/>
      <c r="L53" s="349"/>
      <c r="M53" s="349"/>
      <c r="N53" s="349"/>
      <c r="O53" s="349"/>
      <c r="P53" s="349"/>
      <c r="Q53" s="349"/>
      <c r="R53" s="349"/>
      <c r="S53" s="349"/>
      <c r="T53" s="349"/>
      <c r="U53" s="349"/>
      <c r="V53" s="502"/>
      <c r="W53" s="386"/>
      <c r="X53" s="503"/>
      <c r="Y53" s="503"/>
      <c r="Z53" s="503"/>
      <c r="AA53" s="503"/>
      <c r="AB53" s="503"/>
      <c r="AC53" s="504"/>
      <c r="AD53" s="504"/>
      <c r="AE53" s="504"/>
      <c r="AF53" s="504"/>
      <c r="AG53" s="505"/>
      <c r="AH53" s="505"/>
    </row>
    <row r="54" spans="2:34" ht="15" x14ac:dyDescent="0.25">
      <c r="B54" s="506" t="s">
        <v>161</v>
      </c>
      <c r="C54" s="501"/>
      <c r="D54" s="501"/>
      <c r="E54" s="501"/>
      <c r="F54" s="501"/>
      <c r="G54" s="501"/>
      <c r="H54" s="501"/>
      <c r="I54" s="501"/>
      <c r="J54" s="501"/>
      <c r="K54" s="501"/>
      <c r="L54" s="349"/>
      <c r="M54" s="349"/>
      <c r="N54" s="349"/>
      <c r="O54" s="349"/>
      <c r="P54" s="349"/>
      <c r="Q54" s="349"/>
      <c r="R54" s="349"/>
      <c r="S54" s="349"/>
      <c r="T54" s="349"/>
      <c r="U54" s="349"/>
      <c r="V54" s="502"/>
      <c r="W54" s="386"/>
      <c r="X54" s="503"/>
      <c r="Y54" s="503"/>
      <c r="Z54" s="503"/>
      <c r="AA54" s="503"/>
      <c r="AB54" s="503"/>
      <c r="AC54" s="504"/>
      <c r="AD54" s="504"/>
      <c r="AE54" s="504"/>
      <c r="AF54" s="504"/>
      <c r="AG54" s="505"/>
      <c r="AH54" s="505"/>
    </row>
    <row r="55" spans="2:34" ht="15" x14ac:dyDescent="0.25">
      <c r="B55" s="506" t="s">
        <v>162</v>
      </c>
      <c r="C55" s="501"/>
      <c r="D55" s="501"/>
      <c r="E55" s="501"/>
      <c r="F55" s="501"/>
      <c r="G55" s="501"/>
      <c r="H55" s="501"/>
      <c r="I55" s="501"/>
      <c r="J55" s="501"/>
      <c r="K55" s="501"/>
      <c r="L55" s="349"/>
      <c r="M55" s="349"/>
      <c r="N55" s="349"/>
      <c r="O55" s="349"/>
      <c r="P55" s="349"/>
      <c r="Q55" s="349"/>
      <c r="R55" s="349"/>
      <c r="S55" s="349"/>
      <c r="T55" s="349"/>
      <c r="U55" s="349"/>
      <c r="V55" s="502"/>
      <c r="W55" s="386"/>
      <c r="X55" s="503"/>
      <c r="Y55" s="503"/>
      <c r="Z55" s="503"/>
      <c r="AA55" s="503"/>
      <c r="AB55" s="503"/>
      <c r="AC55" s="504"/>
      <c r="AD55" s="504"/>
      <c r="AE55" s="504"/>
      <c r="AF55" s="504"/>
      <c r="AG55" s="505"/>
      <c r="AH55" s="505"/>
    </row>
    <row r="56" spans="2:34" ht="15" x14ac:dyDescent="0.25">
      <c r="B56" s="506" t="s">
        <v>163</v>
      </c>
      <c r="C56" s="501"/>
      <c r="D56" s="501"/>
      <c r="E56" s="501"/>
      <c r="F56" s="501"/>
      <c r="G56" s="501"/>
      <c r="H56" s="501"/>
      <c r="I56" s="501"/>
      <c r="J56" s="501"/>
      <c r="K56" s="501"/>
      <c r="L56" s="349"/>
      <c r="M56" s="349"/>
      <c r="N56" s="349"/>
      <c r="O56" s="349"/>
      <c r="P56" s="349"/>
      <c r="Q56" s="349"/>
      <c r="R56" s="349"/>
      <c r="S56" s="349"/>
      <c r="T56" s="349"/>
      <c r="U56" s="349"/>
      <c r="V56" s="502"/>
      <c r="W56" s="386"/>
      <c r="X56" s="503"/>
      <c r="Y56" s="503"/>
      <c r="Z56" s="503"/>
      <c r="AA56" s="503"/>
      <c r="AB56" s="503"/>
      <c r="AC56" s="504"/>
      <c r="AD56" s="504"/>
      <c r="AE56" s="504"/>
      <c r="AF56" s="504"/>
      <c r="AG56" s="505"/>
      <c r="AH56" s="505"/>
    </row>
    <row r="57" spans="2:34" ht="15" x14ac:dyDescent="0.25">
      <c r="B57" s="506" t="s">
        <v>164</v>
      </c>
      <c r="C57" s="501"/>
      <c r="D57" s="501"/>
      <c r="E57" s="501"/>
      <c r="F57" s="501"/>
      <c r="G57" s="501"/>
      <c r="H57" s="501"/>
      <c r="I57" s="501"/>
      <c r="J57" s="501"/>
      <c r="K57" s="501"/>
      <c r="L57" s="349"/>
      <c r="M57" s="349"/>
      <c r="N57" s="349"/>
      <c r="O57" s="349"/>
      <c r="P57" s="349"/>
      <c r="Q57" s="349"/>
      <c r="R57" s="349"/>
      <c r="S57" s="349"/>
      <c r="T57" s="349"/>
      <c r="U57" s="349"/>
      <c r="V57" s="502"/>
      <c r="W57" s="386"/>
      <c r="X57" s="503"/>
      <c r="Y57" s="503"/>
      <c r="Z57" s="503"/>
      <c r="AA57" s="503"/>
      <c r="AB57" s="503"/>
      <c r="AC57" s="504"/>
      <c r="AD57" s="504"/>
      <c r="AE57" s="504"/>
      <c r="AF57" s="504"/>
      <c r="AG57" s="505"/>
      <c r="AH57" s="505"/>
    </row>
    <row r="58" spans="2:34" ht="15" x14ac:dyDescent="0.25">
      <c r="B58" s="506" t="s">
        <v>165</v>
      </c>
      <c r="C58" s="501"/>
      <c r="D58" s="501"/>
      <c r="E58" s="501"/>
      <c r="F58" s="501"/>
      <c r="G58" s="501"/>
      <c r="H58" s="501"/>
      <c r="I58" s="501"/>
      <c r="J58" s="501"/>
      <c r="K58" s="501"/>
      <c r="L58" s="349"/>
      <c r="M58" s="349"/>
      <c r="N58" s="349"/>
      <c r="O58" s="349"/>
      <c r="P58" s="349"/>
      <c r="Q58" s="349"/>
      <c r="R58" s="349"/>
      <c r="S58" s="349"/>
      <c r="T58" s="349"/>
      <c r="U58" s="349"/>
      <c r="V58" s="502"/>
      <c r="W58" s="386"/>
      <c r="X58" s="503"/>
      <c r="Y58" s="503"/>
      <c r="Z58" s="503"/>
      <c r="AA58" s="503"/>
      <c r="AB58" s="503"/>
      <c r="AC58" s="504"/>
      <c r="AD58" s="504"/>
      <c r="AE58" s="504"/>
      <c r="AF58" s="504"/>
      <c r="AG58" s="505"/>
      <c r="AH58" s="505"/>
    </row>
    <row r="59" spans="2:34" ht="15" x14ac:dyDescent="0.25">
      <c r="B59" s="506" t="s">
        <v>166</v>
      </c>
      <c r="C59" s="501"/>
      <c r="D59" s="501"/>
      <c r="E59" s="501"/>
      <c r="F59" s="501"/>
      <c r="G59" s="501"/>
      <c r="H59" s="501"/>
      <c r="I59" s="501"/>
      <c r="J59" s="501"/>
      <c r="K59" s="501"/>
      <c r="L59" s="349"/>
      <c r="M59" s="349"/>
      <c r="N59" s="349"/>
      <c r="O59" s="349"/>
      <c r="P59" s="349"/>
      <c r="Q59" s="349"/>
      <c r="R59" s="349"/>
      <c r="S59" s="349"/>
      <c r="T59" s="349"/>
      <c r="U59" s="349"/>
      <c r="V59" s="502"/>
      <c r="W59" s="386"/>
      <c r="X59" s="503"/>
      <c r="Y59" s="503"/>
      <c r="Z59" s="503"/>
      <c r="AA59" s="503"/>
      <c r="AB59" s="503"/>
      <c r="AC59" s="504"/>
      <c r="AD59" s="504"/>
      <c r="AE59" s="504"/>
      <c r="AF59" s="504"/>
      <c r="AG59" s="505"/>
      <c r="AH59" s="505"/>
    </row>
    <row r="60" spans="2:34" ht="15" x14ac:dyDescent="0.25">
      <c r="B60" s="506" t="s">
        <v>167</v>
      </c>
      <c r="C60" s="501"/>
      <c r="D60" s="501"/>
      <c r="E60" s="501"/>
      <c r="F60" s="501"/>
      <c r="G60" s="501"/>
      <c r="H60" s="501"/>
      <c r="I60" s="501"/>
      <c r="J60" s="501"/>
      <c r="K60" s="501"/>
      <c r="L60" s="349"/>
      <c r="M60" s="349"/>
      <c r="N60" s="349"/>
      <c r="O60" s="349"/>
      <c r="P60" s="349"/>
      <c r="Q60" s="349"/>
      <c r="R60" s="349"/>
      <c r="S60" s="349"/>
      <c r="T60" s="349"/>
      <c r="U60" s="349"/>
      <c r="V60" s="502"/>
      <c r="W60" s="386"/>
      <c r="X60" s="503"/>
      <c r="Y60" s="503"/>
      <c r="Z60" s="503"/>
      <c r="AA60" s="503"/>
      <c r="AB60" s="503"/>
      <c r="AC60" s="504"/>
      <c r="AD60" s="504"/>
      <c r="AE60" s="504"/>
      <c r="AF60" s="504"/>
      <c r="AG60" s="505"/>
      <c r="AH60" s="505"/>
    </row>
    <row r="61" spans="2:34" ht="15" x14ac:dyDescent="0.25">
      <c r="B61" s="506" t="s">
        <v>168</v>
      </c>
      <c r="C61" s="501"/>
      <c r="D61" s="501"/>
      <c r="E61" s="501"/>
      <c r="F61" s="501"/>
      <c r="G61" s="501"/>
      <c r="H61" s="501"/>
      <c r="I61" s="501"/>
      <c r="J61" s="501"/>
      <c r="K61" s="501"/>
      <c r="L61" s="349"/>
      <c r="M61" s="349"/>
      <c r="N61" s="349"/>
      <c r="O61" s="349"/>
      <c r="P61" s="349"/>
      <c r="Q61" s="349"/>
      <c r="R61" s="349"/>
      <c r="S61" s="349"/>
      <c r="T61" s="349"/>
      <c r="U61" s="349"/>
      <c r="V61" s="502"/>
      <c r="W61" s="386"/>
      <c r="X61" s="503"/>
      <c r="Y61" s="503"/>
      <c r="Z61" s="503"/>
      <c r="AA61" s="503"/>
      <c r="AB61" s="503"/>
      <c r="AC61" s="504"/>
      <c r="AD61" s="504"/>
      <c r="AE61" s="504"/>
      <c r="AF61" s="504"/>
      <c r="AG61" s="505"/>
      <c r="AH61" s="505"/>
    </row>
    <row r="62" spans="2:34" ht="15" x14ac:dyDescent="0.25">
      <c r="B62" s="506" t="s">
        <v>169</v>
      </c>
      <c r="C62" s="501"/>
      <c r="D62" s="501"/>
      <c r="E62" s="501"/>
      <c r="F62" s="501"/>
      <c r="G62" s="501"/>
      <c r="H62" s="501"/>
      <c r="I62" s="501"/>
      <c r="J62" s="501"/>
      <c r="K62" s="501"/>
      <c r="L62" s="349"/>
      <c r="M62" s="349"/>
      <c r="N62" s="349"/>
      <c r="O62" s="349"/>
      <c r="P62" s="349"/>
      <c r="Q62" s="349"/>
      <c r="R62" s="349"/>
      <c r="S62" s="349"/>
      <c r="T62" s="349"/>
      <c r="U62" s="349"/>
      <c r="V62" s="502"/>
      <c r="W62" s="386"/>
      <c r="X62" s="503"/>
      <c r="Y62" s="503"/>
      <c r="Z62" s="503"/>
      <c r="AA62" s="503"/>
      <c r="AB62" s="503"/>
      <c r="AC62" s="504"/>
      <c r="AD62" s="504"/>
      <c r="AE62" s="504"/>
      <c r="AF62" s="504"/>
      <c r="AG62" s="505"/>
      <c r="AH62" s="505"/>
    </row>
    <row r="63" spans="2:34" ht="15" x14ac:dyDescent="0.25">
      <c r="B63" s="506" t="s">
        <v>170</v>
      </c>
      <c r="C63" s="501"/>
      <c r="D63" s="501"/>
      <c r="E63" s="501"/>
      <c r="F63" s="501"/>
      <c r="G63" s="501"/>
      <c r="H63" s="501"/>
      <c r="I63" s="501"/>
      <c r="J63" s="501"/>
      <c r="K63" s="501"/>
      <c r="L63" s="349"/>
      <c r="M63" s="349"/>
      <c r="N63" s="349"/>
      <c r="O63" s="349"/>
      <c r="P63" s="349"/>
      <c r="Q63" s="349"/>
      <c r="R63" s="349"/>
      <c r="S63" s="349"/>
      <c r="T63" s="349"/>
      <c r="U63" s="349"/>
      <c r="V63" s="502"/>
      <c r="W63" s="386"/>
      <c r="X63" s="503"/>
      <c r="Y63" s="503"/>
      <c r="Z63" s="503"/>
      <c r="AA63" s="503"/>
      <c r="AB63" s="503"/>
      <c r="AC63" s="504"/>
      <c r="AD63" s="504"/>
      <c r="AE63" s="504"/>
      <c r="AF63" s="504"/>
      <c r="AG63" s="505"/>
      <c r="AH63" s="505"/>
    </row>
    <row r="64" spans="2:34" ht="15" x14ac:dyDescent="0.25">
      <c r="B64" s="506" t="s">
        <v>171</v>
      </c>
      <c r="C64" s="501"/>
      <c r="D64" s="501"/>
      <c r="E64" s="501"/>
      <c r="F64" s="501"/>
      <c r="G64" s="501"/>
      <c r="H64" s="501"/>
      <c r="I64" s="501"/>
      <c r="J64" s="501"/>
      <c r="K64" s="501"/>
      <c r="L64" s="349"/>
      <c r="M64" s="349"/>
      <c r="N64" s="349"/>
      <c r="O64" s="349"/>
      <c r="P64" s="349"/>
      <c r="Q64" s="349"/>
      <c r="R64" s="349"/>
      <c r="S64" s="349"/>
      <c r="T64" s="349"/>
      <c r="U64" s="349"/>
      <c r="V64" s="502"/>
      <c r="W64" s="386"/>
      <c r="X64" s="503"/>
      <c r="Y64" s="503"/>
      <c r="Z64" s="503"/>
      <c r="AA64" s="503"/>
      <c r="AB64" s="503"/>
      <c r="AC64" s="504"/>
      <c r="AD64" s="504"/>
      <c r="AE64" s="504"/>
      <c r="AF64" s="504"/>
      <c r="AG64" s="505"/>
      <c r="AH64" s="505"/>
    </row>
    <row r="65" spans="2:34" ht="15" x14ac:dyDescent="0.25">
      <c r="B65" s="506" t="s">
        <v>172</v>
      </c>
      <c r="C65" s="501"/>
      <c r="D65" s="501"/>
      <c r="E65" s="501"/>
      <c r="F65" s="501"/>
      <c r="G65" s="501"/>
      <c r="H65" s="501"/>
      <c r="I65" s="501"/>
      <c r="J65" s="501"/>
      <c r="K65" s="501"/>
      <c r="L65" s="349"/>
      <c r="M65" s="349"/>
      <c r="N65" s="349"/>
      <c r="O65" s="349"/>
      <c r="P65" s="349"/>
      <c r="Q65" s="349"/>
      <c r="R65" s="349"/>
      <c r="S65" s="349"/>
      <c r="T65" s="349"/>
      <c r="U65" s="349"/>
      <c r="V65" s="502"/>
      <c r="W65" s="386"/>
      <c r="X65" s="503"/>
      <c r="Y65" s="503"/>
      <c r="Z65" s="503"/>
      <c r="AA65" s="503"/>
      <c r="AB65" s="503"/>
      <c r="AC65" s="504"/>
      <c r="AD65" s="504"/>
      <c r="AE65" s="504"/>
      <c r="AF65" s="504"/>
      <c r="AG65" s="505"/>
      <c r="AH65" s="505"/>
    </row>
    <row r="66" spans="2:34" ht="15" x14ac:dyDescent="0.25">
      <c r="B66" s="506" t="s">
        <v>173</v>
      </c>
      <c r="C66" s="501"/>
      <c r="D66" s="501"/>
      <c r="E66" s="501"/>
      <c r="F66" s="501"/>
      <c r="G66" s="501"/>
      <c r="H66" s="501"/>
      <c r="I66" s="501"/>
      <c r="J66" s="501"/>
      <c r="K66" s="501"/>
      <c r="L66" s="349"/>
      <c r="M66" s="349"/>
      <c r="N66" s="349"/>
      <c r="O66" s="349"/>
      <c r="P66" s="349"/>
      <c r="Q66" s="349"/>
      <c r="R66" s="349"/>
      <c r="S66" s="349"/>
      <c r="T66" s="349"/>
      <c r="U66" s="349"/>
      <c r="V66" s="502"/>
      <c r="W66" s="386"/>
      <c r="X66" s="503"/>
      <c r="Y66" s="503"/>
      <c r="Z66" s="503"/>
      <c r="AA66" s="503"/>
      <c r="AB66" s="503"/>
      <c r="AC66" s="504"/>
      <c r="AD66" s="504"/>
      <c r="AE66" s="504"/>
      <c r="AF66" s="504"/>
      <c r="AG66" s="505"/>
      <c r="AH66" s="505"/>
    </row>
    <row r="67" spans="2:34" ht="15" x14ac:dyDescent="0.25">
      <c r="B67" s="506" t="s">
        <v>174</v>
      </c>
      <c r="C67" s="501"/>
      <c r="D67" s="501"/>
      <c r="E67" s="501"/>
      <c r="F67" s="501"/>
      <c r="G67" s="501"/>
      <c r="H67" s="501"/>
      <c r="I67" s="501"/>
      <c r="J67" s="501"/>
      <c r="K67" s="501"/>
      <c r="L67" s="349"/>
      <c r="M67" s="349"/>
      <c r="N67" s="349"/>
      <c r="O67" s="349"/>
      <c r="P67" s="349"/>
      <c r="Q67" s="349"/>
      <c r="R67" s="349"/>
      <c r="S67" s="349"/>
      <c r="T67" s="349"/>
      <c r="U67" s="349"/>
      <c r="V67" s="502"/>
      <c r="W67" s="386"/>
      <c r="X67" s="503"/>
      <c r="Y67" s="503"/>
      <c r="Z67" s="503"/>
      <c r="AA67" s="503"/>
      <c r="AB67" s="503"/>
      <c r="AC67" s="504"/>
      <c r="AD67" s="504"/>
      <c r="AE67" s="504"/>
      <c r="AF67" s="504"/>
      <c r="AG67" s="505"/>
      <c r="AH67" s="505"/>
    </row>
    <row r="68" spans="2:34" ht="15" x14ac:dyDescent="0.25">
      <c r="B68" s="506" t="s">
        <v>175</v>
      </c>
      <c r="C68" s="501"/>
      <c r="D68" s="501"/>
      <c r="E68" s="501"/>
      <c r="F68" s="501"/>
      <c r="G68" s="501"/>
      <c r="H68" s="501"/>
      <c r="I68" s="501"/>
      <c r="J68" s="501"/>
      <c r="K68" s="501"/>
      <c r="L68" s="349"/>
      <c r="M68" s="349"/>
      <c r="N68" s="349"/>
      <c r="O68" s="349"/>
      <c r="P68" s="349"/>
      <c r="Q68" s="349"/>
      <c r="R68" s="349"/>
      <c r="S68" s="349"/>
      <c r="T68" s="349"/>
      <c r="U68" s="349"/>
      <c r="V68" s="502"/>
      <c r="W68" s="386"/>
      <c r="X68" s="503"/>
      <c r="Y68" s="503"/>
      <c r="Z68" s="503"/>
      <c r="AA68" s="503"/>
      <c r="AB68" s="503"/>
      <c r="AC68" s="504"/>
      <c r="AD68" s="504"/>
      <c r="AE68" s="504"/>
      <c r="AF68" s="504"/>
      <c r="AG68" s="505"/>
      <c r="AH68" s="505"/>
    </row>
    <row r="69" spans="2:34" ht="15" x14ac:dyDescent="0.25">
      <c r="B69" s="506" t="s">
        <v>176</v>
      </c>
      <c r="C69" s="501"/>
      <c r="D69" s="501"/>
      <c r="E69" s="501"/>
      <c r="F69" s="501"/>
      <c r="G69" s="501"/>
      <c r="H69" s="501"/>
      <c r="I69" s="501"/>
      <c r="J69" s="501"/>
      <c r="K69" s="501"/>
      <c r="L69" s="349"/>
      <c r="M69" s="349"/>
      <c r="N69" s="349"/>
      <c r="O69" s="349"/>
      <c r="P69" s="349"/>
      <c r="Q69" s="349"/>
      <c r="R69" s="349"/>
      <c r="S69" s="349"/>
      <c r="T69" s="349"/>
      <c r="U69" s="349"/>
      <c r="V69" s="502"/>
      <c r="W69" s="386"/>
      <c r="X69" s="503"/>
      <c r="Y69" s="503"/>
      <c r="Z69" s="503"/>
      <c r="AA69" s="503"/>
      <c r="AB69" s="503"/>
      <c r="AC69" s="504"/>
      <c r="AD69" s="504"/>
      <c r="AE69" s="504"/>
      <c r="AF69" s="504"/>
      <c r="AG69" s="505"/>
      <c r="AH69" s="505"/>
    </row>
    <row r="70" spans="2:34" ht="15" x14ac:dyDescent="0.25">
      <c r="B70" s="506" t="s">
        <v>177</v>
      </c>
      <c r="C70" s="501"/>
      <c r="D70" s="501"/>
      <c r="E70" s="501"/>
      <c r="F70" s="501"/>
      <c r="G70" s="501"/>
      <c r="H70" s="501"/>
      <c r="I70" s="501"/>
      <c r="J70" s="501"/>
      <c r="K70" s="501"/>
      <c r="L70" s="349"/>
      <c r="M70" s="349"/>
      <c r="N70" s="349"/>
      <c r="O70" s="349"/>
      <c r="P70" s="349"/>
      <c r="Q70" s="349"/>
      <c r="R70" s="349"/>
      <c r="S70" s="349"/>
      <c r="T70" s="349"/>
      <c r="U70" s="349"/>
      <c r="V70" s="502"/>
      <c r="W70" s="386"/>
      <c r="X70" s="503"/>
      <c r="Y70" s="503"/>
      <c r="Z70" s="503"/>
      <c r="AA70" s="503"/>
      <c r="AB70" s="503"/>
      <c r="AC70" s="504"/>
      <c r="AD70" s="504"/>
      <c r="AE70" s="504"/>
      <c r="AF70" s="504"/>
      <c r="AG70" s="505"/>
      <c r="AH70" s="505"/>
    </row>
    <row r="71" spans="2:34" ht="15" x14ac:dyDescent="0.25">
      <c r="B71" s="506" t="s">
        <v>178</v>
      </c>
      <c r="C71" s="501"/>
      <c r="D71" s="501"/>
      <c r="E71" s="501"/>
      <c r="F71" s="501"/>
      <c r="G71" s="501"/>
      <c r="H71" s="501"/>
      <c r="I71" s="501"/>
      <c r="J71" s="501"/>
      <c r="K71" s="501"/>
      <c r="L71" s="349"/>
      <c r="M71" s="349"/>
      <c r="N71" s="349"/>
      <c r="O71" s="349"/>
      <c r="P71" s="349"/>
      <c r="Q71" s="349"/>
      <c r="R71" s="349"/>
      <c r="S71" s="349"/>
      <c r="T71" s="349"/>
      <c r="U71" s="349"/>
      <c r="V71" s="502"/>
      <c r="W71" s="386"/>
      <c r="X71" s="503"/>
      <c r="Y71" s="503"/>
      <c r="Z71" s="503"/>
      <c r="AA71" s="503"/>
      <c r="AB71" s="503"/>
      <c r="AC71" s="504"/>
      <c r="AD71" s="504"/>
      <c r="AE71" s="504"/>
      <c r="AF71" s="504"/>
      <c r="AG71" s="505"/>
      <c r="AH71" s="505"/>
    </row>
    <row r="72" spans="2:34" ht="15" x14ac:dyDescent="0.25">
      <c r="B72" s="506" t="s">
        <v>1489</v>
      </c>
      <c r="C72" s="501"/>
      <c r="D72" s="501"/>
      <c r="E72" s="501"/>
      <c r="F72" s="501"/>
      <c r="G72" s="501"/>
      <c r="H72" s="501"/>
      <c r="I72" s="501"/>
      <c r="J72" s="501"/>
      <c r="K72" s="501"/>
      <c r="L72" s="349"/>
      <c r="M72" s="349"/>
      <c r="N72" s="349"/>
      <c r="O72" s="349"/>
      <c r="P72" s="349"/>
      <c r="Q72" s="349"/>
      <c r="R72" s="349"/>
      <c r="S72" s="349"/>
      <c r="T72" s="349"/>
      <c r="U72" s="349"/>
      <c r="V72" s="502"/>
      <c r="W72" s="386"/>
      <c r="X72" s="503"/>
      <c r="Y72" s="503"/>
      <c r="Z72" s="503"/>
      <c r="AA72" s="503"/>
      <c r="AB72" s="503"/>
      <c r="AC72" s="504"/>
      <c r="AD72" s="504"/>
      <c r="AE72" s="504"/>
      <c r="AF72" s="504"/>
      <c r="AG72" s="505"/>
      <c r="AH72" s="505"/>
    </row>
    <row r="73" spans="2:34" ht="15" x14ac:dyDescent="0.25">
      <c r="B73" s="506" t="s">
        <v>179</v>
      </c>
      <c r="C73" s="501"/>
      <c r="D73" s="501"/>
      <c r="E73" s="501"/>
      <c r="F73" s="501"/>
      <c r="G73" s="501"/>
      <c r="H73" s="501"/>
      <c r="I73" s="501"/>
      <c r="J73" s="501"/>
      <c r="K73" s="501"/>
      <c r="L73" s="349"/>
      <c r="M73" s="349"/>
      <c r="N73" s="349"/>
      <c r="O73" s="349"/>
      <c r="P73" s="349"/>
      <c r="Q73" s="349"/>
      <c r="R73" s="349"/>
      <c r="S73" s="349"/>
      <c r="T73" s="349"/>
      <c r="U73" s="349"/>
      <c r="V73" s="502"/>
      <c r="W73" s="386"/>
      <c r="X73" s="503"/>
      <c r="Y73" s="503"/>
      <c r="Z73" s="503"/>
      <c r="AA73" s="503"/>
      <c r="AB73" s="503"/>
      <c r="AC73" s="504"/>
      <c r="AD73" s="504"/>
      <c r="AE73" s="504"/>
      <c r="AF73" s="504"/>
      <c r="AG73" s="505"/>
      <c r="AH73" s="505"/>
    </row>
    <row r="74" spans="2:34" ht="15" x14ac:dyDescent="0.25">
      <c r="B74" s="506" t="s">
        <v>180</v>
      </c>
      <c r="C74" s="501"/>
      <c r="D74" s="501"/>
      <c r="E74" s="501"/>
      <c r="F74" s="501"/>
      <c r="G74" s="501"/>
      <c r="H74" s="501"/>
      <c r="I74" s="501"/>
      <c r="J74" s="501"/>
      <c r="K74" s="501"/>
      <c r="L74" s="349"/>
      <c r="M74" s="349"/>
      <c r="N74" s="349"/>
      <c r="O74" s="349"/>
      <c r="P74" s="349"/>
      <c r="Q74" s="349"/>
      <c r="R74" s="349"/>
      <c r="S74" s="349"/>
      <c r="T74" s="349"/>
      <c r="U74" s="349"/>
      <c r="V74" s="502"/>
      <c r="W74" s="386"/>
      <c r="X74" s="503"/>
      <c r="Y74" s="503"/>
      <c r="Z74" s="503"/>
      <c r="AA74" s="503"/>
      <c r="AB74" s="503"/>
      <c r="AC74" s="504"/>
      <c r="AD74" s="504"/>
      <c r="AE74" s="504"/>
      <c r="AF74" s="504"/>
      <c r="AG74" s="505"/>
      <c r="AH74" s="505"/>
    </row>
    <row r="75" spans="2:34" ht="15" x14ac:dyDescent="0.25">
      <c r="B75" s="506" t="s">
        <v>1384</v>
      </c>
      <c r="C75" s="501"/>
      <c r="D75" s="501"/>
      <c r="E75" s="501"/>
      <c r="F75" s="501"/>
      <c r="G75" s="501"/>
      <c r="H75" s="501"/>
      <c r="I75" s="501"/>
      <c r="J75" s="501"/>
      <c r="K75" s="501"/>
      <c r="L75" s="349"/>
      <c r="M75" s="349"/>
      <c r="N75" s="349"/>
      <c r="O75" s="349"/>
      <c r="P75" s="349"/>
      <c r="Q75" s="349"/>
      <c r="R75" s="349"/>
      <c r="S75" s="349"/>
      <c r="T75" s="349"/>
      <c r="U75" s="349"/>
      <c r="V75" s="502"/>
      <c r="W75" s="386"/>
      <c r="X75" s="503"/>
      <c r="Y75" s="503"/>
      <c r="Z75" s="503"/>
      <c r="AA75" s="503"/>
      <c r="AB75" s="503"/>
      <c r="AC75" s="504"/>
      <c r="AD75" s="504"/>
      <c r="AE75" s="504"/>
      <c r="AF75" s="504"/>
      <c r="AG75" s="505"/>
      <c r="AH75" s="505"/>
    </row>
    <row r="76" spans="2:34" ht="15" x14ac:dyDescent="0.25">
      <c r="B76" s="506" t="s">
        <v>181</v>
      </c>
      <c r="C76" s="501"/>
      <c r="D76" s="501"/>
      <c r="E76" s="501"/>
      <c r="F76" s="501"/>
      <c r="G76" s="501"/>
      <c r="H76" s="501"/>
      <c r="I76" s="501"/>
      <c r="J76" s="501"/>
      <c r="K76" s="501"/>
      <c r="L76" s="349"/>
      <c r="M76" s="349"/>
      <c r="N76" s="349"/>
      <c r="O76" s="349"/>
      <c r="P76" s="349"/>
      <c r="Q76" s="349"/>
      <c r="R76" s="349"/>
      <c r="S76" s="349"/>
      <c r="T76" s="349"/>
      <c r="U76" s="349"/>
      <c r="V76" s="502"/>
      <c r="W76" s="386"/>
      <c r="X76" s="503"/>
      <c r="Y76" s="503"/>
      <c r="Z76" s="503"/>
      <c r="AA76" s="503"/>
      <c r="AB76" s="503"/>
      <c r="AC76" s="504"/>
      <c r="AD76" s="504"/>
      <c r="AE76" s="504"/>
      <c r="AF76" s="504"/>
      <c r="AG76" s="505"/>
      <c r="AH76" s="505"/>
    </row>
    <row r="77" spans="2:34" ht="15" x14ac:dyDescent="0.25">
      <c r="B77" s="506" t="s">
        <v>182</v>
      </c>
      <c r="C77" s="501"/>
      <c r="D77" s="501"/>
      <c r="E77" s="501"/>
      <c r="F77" s="501"/>
      <c r="G77" s="501"/>
      <c r="H77" s="501"/>
      <c r="I77" s="501"/>
      <c r="J77" s="501"/>
      <c r="K77" s="501"/>
      <c r="L77" s="349"/>
      <c r="M77" s="349"/>
      <c r="N77" s="349"/>
      <c r="O77" s="349"/>
      <c r="P77" s="349"/>
      <c r="Q77" s="349"/>
      <c r="R77" s="349"/>
      <c r="S77" s="349"/>
      <c r="T77" s="349"/>
      <c r="U77" s="349"/>
      <c r="V77" s="502"/>
      <c r="W77" s="386"/>
      <c r="X77" s="503"/>
      <c r="Y77" s="503"/>
      <c r="Z77" s="503"/>
      <c r="AA77" s="503"/>
      <c r="AB77" s="503"/>
      <c r="AC77" s="504"/>
      <c r="AD77" s="504"/>
      <c r="AE77" s="504"/>
      <c r="AF77" s="504"/>
      <c r="AG77" s="505"/>
      <c r="AH77" s="505"/>
    </row>
    <row r="78" spans="2:34" ht="15" x14ac:dyDescent="0.25">
      <c r="B78" s="506" t="s">
        <v>183</v>
      </c>
      <c r="C78" s="501"/>
      <c r="D78" s="501"/>
      <c r="E78" s="501"/>
      <c r="F78" s="501"/>
      <c r="G78" s="501"/>
      <c r="H78" s="501"/>
      <c r="I78" s="501"/>
      <c r="J78" s="501"/>
      <c r="K78" s="501"/>
      <c r="L78" s="349"/>
      <c r="M78" s="349"/>
      <c r="N78" s="349"/>
      <c r="O78" s="349"/>
      <c r="P78" s="349"/>
      <c r="Q78" s="349"/>
      <c r="R78" s="349"/>
      <c r="S78" s="349"/>
      <c r="T78" s="349"/>
      <c r="U78" s="349"/>
      <c r="V78" s="502"/>
      <c r="W78" s="386"/>
      <c r="X78" s="503"/>
      <c r="Y78" s="503"/>
      <c r="Z78" s="503"/>
      <c r="AA78" s="503"/>
      <c r="AB78" s="503"/>
      <c r="AC78" s="504"/>
      <c r="AD78" s="504"/>
      <c r="AE78" s="504"/>
      <c r="AF78" s="504"/>
      <c r="AG78" s="505"/>
      <c r="AH78" s="505"/>
    </row>
    <row r="79" spans="2:34" ht="15" x14ac:dyDescent="0.25">
      <c r="B79" s="506" t="s">
        <v>184</v>
      </c>
      <c r="C79" s="501"/>
      <c r="D79" s="501"/>
      <c r="E79" s="501"/>
      <c r="F79" s="501"/>
      <c r="G79" s="501"/>
      <c r="H79" s="501"/>
      <c r="I79" s="501"/>
      <c r="J79" s="501"/>
      <c r="K79" s="501"/>
      <c r="L79" s="349"/>
      <c r="M79" s="349"/>
      <c r="N79" s="349"/>
      <c r="O79" s="349"/>
      <c r="P79" s="349"/>
      <c r="Q79" s="349"/>
      <c r="R79" s="349"/>
      <c r="S79" s="349"/>
      <c r="T79" s="349"/>
      <c r="U79" s="349"/>
      <c r="V79" s="502"/>
      <c r="W79" s="386"/>
      <c r="X79" s="503"/>
      <c r="Y79" s="503"/>
      <c r="Z79" s="503"/>
      <c r="AA79" s="503"/>
      <c r="AB79" s="503"/>
      <c r="AC79" s="504"/>
      <c r="AD79" s="504"/>
      <c r="AE79" s="504"/>
      <c r="AF79" s="504"/>
      <c r="AG79" s="505"/>
      <c r="AH79" s="505"/>
    </row>
    <row r="80" spans="2:34" ht="15" x14ac:dyDescent="0.25">
      <c r="B80" s="506" t="s">
        <v>185</v>
      </c>
      <c r="C80" s="501"/>
      <c r="D80" s="501"/>
      <c r="E80" s="501"/>
      <c r="F80" s="501"/>
      <c r="G80" s="501"/>
      <c r="H80" s="501"/>
      <c r="I80" s="501"/>
      <c r="J80" s="501"/>
      <c r="K80" s="501"/>
      <c r="L80" s="349"/>
      <c r="M80" s="349"/>
      <c r="N80" s="349"/>
      <c r="O80" s="349"/>
      <c r="P80" s="349"/>
      <c r="Q80" s="349"/>
      <c r="R80" s="349"/>
      <c r="S80" s="349"/>
      <c r="T80" s="349"/>
      <c r="U80" s="349"/>
      <c r="V80" s="502"/>
      <c r="W80" s="386"/>
      <c r="X80" s="503"/>
      <c r="Y80" s="503"/>
      <c r="Z80" s="503"/>
      <c r="AA80" s="503"/>
      <c r="AB80" s="503"/>
      <c r="AC80" s="504"/>
      <c r="AD80" s="504"/>
      <c r="AE80" s="504"/>
      <c r="AF80" s="504"/>
      <c r="AG80" s="505"/>
      <c r="AH80" s="505"/>
    </row>
    <row r="81" spans="2:34" ht="15" x14ac:dyDescent="0.25">
      <c r="B81" s="506" t="s">
        <v>186</v>
      </c>
      <c r="C81" s="501"/>
      <c r="D81" s="501"/>
      <c r="E81" s="501"/>
      <c r="F81" s="501"/>
      <c r="G81" s="501"/>
      <c r="H81" s="501"/>
      <c r="I81" s="501"/>
      <c r="J81" s="501"/>
      <c r="K81" s="501"/>
      <c r="L81" s="349"/>
      <c r="M81" s="349"/>
      <c r="N81" s="349"/>
      <c r="O81" s="349"/>
      <c r="P81" s="349"/>
      <c r="Q81" s="349"/>
      <c r="R81" s="349"/>
      <c r="S81" s="349"/>
      <c r="T81" s="349"/>
      <c r="U81" s="349"/>
      <c r="V81" s="502"/>
      <c r="W81" s="386"/>
      <c r="X81" s="503"/>
      <c r="Y81" s="503"/>
      <c r="Z81" s="503"/>
      <c r="AA81" s="503"/>
      <c r="AB81" s="503"/>
      <c r="AC81" s="504"/>
      <c r="AD81" s="504"/>
      <c r="AE81" s="504"/>
      <c r="AF81" s="504"/>
      <c r="AG81" s="505"/>
      <c r="AH81" s="505"/>
    </row>
    <row r="82" spans="2:34" ht="15" x14ac:dyDescent="0.25">
      <c r="B82" s="506" t="s">
        <v>187</v>
      </c>
      <c r="C82" s="501"/>
      <c r="D82" s="501"/>
      <c r="E82" s="501"/>
      <c r="F82" s="501"/>
      <c r="G82" s="501"/>
      <c r="H82" s="501"/>
      <c r="I82" s="501"/>
      <c r="J82" s="501"/>
      <c r="K82" s="501"/>
      <c r="L82" s="349"/>
      <c r="M82" s="349"/>
      <c r="N82" s="349"/>
      <c r="O82" s="349"/>
      <c r="P82" s="349"/>
      <c r="Q82" s="349"/>
      <c r="R82" s="349"/>
      <c r="S82" s="349"/>
      <c r="T82" s="349"/>
      <c r="U82" s="349"/>
      <c r="V82" s="502"/>
      <c r="W82" s="386"/>
      <c r="X82" s="503"/>
      <c r="Y82" s="503"/>
      <c r="Z82" s="503"/>
      <c r="AA82" s="503"/>
      <c r="AB82" s="503"/>
      <c r="AC82" s="504"/>
      <c r="AD82" s="504"/>
      <c r="AE82" s="504"/>
      <c r="AF82" s="504"/>
      <c r="AG82" s="505"/>
      <c r="AH82" s="505"/>
    </row>
    <row r="83" spans="2:34" ht="15" x14ac:dyDescent="0.25">
      <c r="B83" s="506" t="s">
        <v>188</v>
      </c>
      <c r="C83" s="501"/>
      <c r="D83" s="501"/>
      <c r="E83" s="501"/>
      <c r="F83" s="501"/>
      <c r="G83" s="501"/>
      <c r="H83" s="501"/>
      <c r="I83" s="501"/>
      <c r="J83" s="501"/>
      <c r="K83" s="501"/>
      <c r="L83" s="349"/>
      <c r="M83" s="349"/>
      <c r="N83" s="349"/>
      <c r="O83" s="349"/>
      <c r="P83" s="349"/>
      <c r="Q83" s="349"/>
      <c r="R83" s="349"/>
      <c r="S83" s="349"/>
      <c r="T83" s="349"/>
      <c r="U83" s="349"/>
      <c r="V83" s="502"/>
      <c r="W83" s="386"/>
      <c r="X83" s="503"/>
      <c r="Y83" s="503"/>
      <c r="Z83" s="503"/>
      <c r="AA83" s="503"/>
      <c r="AB83" s="503"/>
      <c r="AC83" s="504"/>
      <c r="AD83" s="504"/>
      <c r="AE83" s="504"/>
      <c r="AF83" s="504"/>
      <c r="AG83" s="505"/>
      <c r="AH83" s="505"/>
    </row>
    <row r="84" spans="2:34" ht="15" x14ac:dyDescent="0.25">
      <c r="B84" s="506" t="s">
        <v>189</v>
      </c>
      <c r="C84" s="501"/>
      <c r="D84" s="501"/>
      <c r="E84" s="501"/>
      <c r="F84" s="501"/>
      <c r="G84" s="501"/>
      <c r="H84" s="501"/>
      <c r="I84" s="501"/>
      <c r="J84" s="501"/>
      <c r="K84" s="501"/>
      <c r="L84" s="349"/>
      <c r="M84" s="349"/>
      <c r="N84" s="349"/>
      <c r="O84" s="349"/>
      <c r="P84" s="349"/>
      <c r="Q84" s="349"/>
      <c r="R84" s="349"/>
      <c r="S84" s="349"/>
      <c r="T84" s="349"/>
      <c r="U84" s="349"/>
      <c r="V84" s="502"/>
      <c r="W84" s="386"/>
      <c r="X84" s="503"/>
      <c r="Y84" s="503"/>
      <c r="Z84" s="503"/>
      <c r="AA84" s="503"/>
      <c r="AB84" s="503"/>
      <c r="AC84" s="504"/>
      <c r="AD84" s="504"/>
      <c r="AE84" s="504"/>
      <c r="AF84" s="504"/>
      <c r="AG84" s="505"/>
      <c r="AH84" s="505"/>
    </row>
    <row r="85" spans="2:34" ht="15" x14ac:dyDescent="0.25">
      <c r="B85" s="506" t="s">
        <v>190</v>
      </c>
      <c r="C85" s="501"/>
      <c r="D85" s="501"/>
      <c r="E85" s="501"/>
      <c r="F85" s="501"/>
      <c r="G85" s="501"/>
      <c r="H85" s="501"/>
      <c r="I85" s="501"/>
      <c r="J85" s="501"/>
      <c r="K85" s="501"/>
      <c r="L85" s="349"/>
      <c r="M85" s="349"/>
      <c r="N85" s="349"/>
      <c r="O85" s="349"/>
      <c r="P85" s="349"/>
      <c r="Q85" s="349"/>
      <c r="R85" s="349"/>
      <c r="S85" s="349"/>
      <c r="T85" s="349"/>
      <c r="U85" s="349"/>
      <c r="V85" s="502"/>
      <c r="W85" s="386"/>
      <c r="X85" s="503"/>
      <c r="Y85" s="503"/>
      <c r="Z85" s="503"/>
      <c r="AA85" s="503"/>
      <c r="AB85" s="503"/>
      <c r="AC85" s="504"/>
      <c r="AD85" s="504"/>
      <c r="AE85" s="504"/>
      <c r="AF85" s="504"/>
      <c r="AG85" s="505"/>
      <c r="AH85" s="505"/>
    </row>
    <row r="86" spans="2:34" ht="15" x14ac:dyDescent="0.25">
      <c r="B86" s="506" t="s">
        <v>191</v>
      </c>
      <c r="C86" s="501"/>
      <c r="D86" s="501"/>
      <c r="E86" s="501"/>
      <c r="F86" s="501"/>
      <c r="G86" s="501"/>
      <c r="H86" s="501"/>
      <c r="I86" s="501"/>
      <c r="J86" s="501"/>
      <c r="K86" s="501"/>
      <c r="L86" s="349"/>
      <c r="M86" s="349"/>
      <c r="N86" s="349"/>
      <c r="O86" s="349"/>
      <c r="P86" s="349"/>
      <c r="Q86" s="349"/>
      <c r="R86" s="349"/>
      <c r="S86" s="349"/>
      <c r="T86" s="349"/>
      <c r="U86" s="349"/>
      <c r="V86" s="502"/>
      <c r="W86" s="386"/>
      <c r="X86" s="503"/>
      <c r="Y86" s="503"/>
      <c r="Z86" s="503"/>
      <c r="AA86" s="503"/>
      <c r="AB86" s="503"/>
      <c r="AC86" s="504"/>
      <c r="AD86" s="504"/>
      <c r="AE86" s="504"/>
      <c r="AF86" s="504"/>
      <c r="AG86" s="505"/>
      <c r="AH86" s="505"/>
    </row>
    <row r="87" spans="2:34" ht="15" x14ac:dyDescent="0.25">
      <c r="B87" s="506" t="s">
        <v>192</v>
      </c>
      <c r="C87" s="501"/>
      <c r="D87" s="501"/>
      <c r="E87" s="501"/>
      <c r="F87" s="501"/>
      <c r="G87" s="501"/>
      <c r="H87" s="501"/>
      <c r="I87" s="501"/>
      <c r="J87" s="501"/>
      <c r="K87" s="501"/>
      <c r="L87" s="349"/>
      <c r="M87" s="349"/>
      <c r="N87" s="349"/>
      <c r="O87" s="349"/>
      <c r="P87" s="349"/>
      <c r="Q87" s="349"/>
      <c r="R87" s="349"/>
      <c r="S87" s="349"/>
      <c r="T87" s="349"/>
      <c r="U87" s="349"/>
      <c r="V87" s="502"/>
      <c r="W87" s="386"/>
      <c r="X87" s="503"/>
      <c r="Y87" s="503"/>
      <c r="Z87" s="503"/>
      <c r="AA87" s="503"/>
      <c r="AB87" s="503"/>
      <c r="AC87" s="504"/>
      <c r="AD87" s="504"/>
      <c r="AE87" s="504"/>
      <c r="AF87" s="504"/>
      <c r="AG87" s="505"/>
      <c r="AH87" s="505"/>
    </row>
    <row r="88" spans="2:34" ht="15" x14ac:dyDescent="0.25">
      <c r="B88" s="506" t="s">
        <v>193</v>
      </c>
      <c r="C88" s="501"/>
      <c r="D88" s="501"/>
      <c r="E88" s="501"/>
      <c r="F88" s="501"/>
      <c r="G88" s="501"/>
      <c r="H88" s="501"/>
      <c r="I88" s="501"/>
      <c r="J88" s="501"/>
      <c r="K88" s="501"/>
      <c r="L88" s="349"/>
      <c r="M88" s="349"/>
      <c r="N88" s="349"/>
      <c r="O88" s="349"/>
      <c r="P88" s="349"/>
      <c r="Q88" s="349"/>
      <c r="R88" s="349"/>
      <c r="S88" s="349"/>
      <c r="T88" s="349"/>
      <c r="U88" s="349"/>
      <c r="V88" s="502"/>
      <c r="W88" s="386"/>
      <c r="X88" s="503"/>
      <c r="Y88" s="503"/>
      <c r="Z88" s="503"/>
      <c r="AA88" s="503"/>
      <c r="AB88" s="503"/>
      <c r="AC88" s="504"/>
      <c r="AD88" s="504"/>
      <c r="AE88" s="504"/>
      <c r="AF88" s="504"/>
      <c r="AG88" s="505"/>
      <c r="AH88" s="505"/>
    </row>
    <row r="89" spans="2:34" ht="15" x14ac:dyDescent="0.25">
      <c r="B89" s="506" t="s">
        <v>194</v>
      </c>
      <c r="C89" s="501"/>
      <c r="D89" s="501"/>
      <c r="E89" s="501"/>
      <c r="F89" s="501"/>
      <c r="G89" s="501"/>
      <c r="H89" s="501"/>
      <c r="I89" s="501"/>
      <c r="J89" s="501"/>
      <c r="K89" s="501"/>
      <c r="L89" s="349"/>
      <c r="M89" s="349"/>
      <c r="N89" s="349"/>
      <c r="O89" s="349"/>
      <c r="P89" s="349"/>
      <c r="Q89" s="349"/>
      <c r="R89" s="349"/>
      <c r="S89" s="349"/>
      <c r="T89" s="349"/>
      <c r="U89" s="349"/>
      <c r="V89" s="502"/>
      <c r="W89" s="386"/>
      <c r="X89" s="503"/>
      <c r="Y89" s="503"/>
      <c r="Z89" s="503"/>
      <c r="AA89" s="503"/>
      <c r="AB89" s="503"/>
      <c r="AC89" s="504"/>
      <c r="AD89" s="504"/>
      <c r="AE89" s="504"/>
      <c r="AF89" s="504"/>
      <c r="AG89" s="505"/>
      <c r="AH89" s="505"/>
    </row>
    <row r="90" spans="2:34" ht="15" x14ac:dyDescent="0.25">
      <c r="B90" s="506" t="s">
        <v>195</v>
      </c>
      <c r="C90" s="501"/>
      <c r="D90" s="501"/>
      <c r="E90" s="501"/>
      <c r="F90" s="501"/>
      <c r="G90" s="501"/>
      <c r="H90" s="501"/>
      <c r="I90" s="501"/>
      <c r="J90" s="501"/>
      <c r="K90" s="501"/>
      <c r="L90" s="349"/>
      <c r="M90" s="349"/>
      <c r="N90" s="349"/>
      <c r="O90" s="349"/>
      <c r="P90" s="349"/>
      <c r="Q90" s="349"/>
      <c r="R90" s="349"/>
      <c r="S90" s="349"/>
      <c r="T90" s="349"/>
      <c r="U90" s="349"/>
      <c r="V90" s="502"/>
      <c r="W90" s="386"/>
      <c r="X90" s="503"/>
      <c r="Y90" s="503"/>
      <c r="Z90" s="503"/>
      <c r="AA90" s="503"/>
      <c r="AB90" s="503"/>
      <c r="AC90" s="504"/>
      <c r="AD90" s="504"/>
      <c r="AE90" s="504"/>
      <c r="AF90" s="504"/>
      <c r="AG90" s="505"/>
      <c r="AH90" s="505"/>
    </row>
    <row r="91" spans="2:34" ht="15" x14ac:dyDescent="0.25">
      <c r="B91" s="506" t="s">
        <v>196</v>
      </c>
      <c r="C91" s="501"/>
      <c r="D91" s="501"/>
      <c r="E91" s="501"/>
      <c r="F91" s="501"/>
      <c r="G91" s="501"/>
      <c r="H91" s="501"/>
      <c r="I91" s="501"/>
      <c r="J91" s="501"/>
      <c r="K91" s="501"/>
      <c r="L91" s="349"/>
      <c r="M91" s="349"/>
      <c r="N91" s="349"/>
      <c r="O91" s="349"/>
      <c r="P91" s="349"/>
      <c r="Q91" s="349"/>
      <c r="R91" s="349"/>
      <c r="S91" s="349"/>
      <c r="T91" s="349"/>
      <c r="U91" s="349"/>
      <c r="V91" s="502"/>
      <c r="W91" s="386"/>
      <c r="X91" s="503"/>
      <c r="Y91" s="503"/>
      <c r="Z91" s="503"/>
      <c r="AA91" s="503"/>
      <c r="AB91" s="503"/>
      <c r="AC91" s="504"/>
      <c r="AD91" s="504"/>
      <c r="AE91" s="504"/>
      <c r="AF91" s="504"/>
      <c r="AG91" s="505"/>
      <c r="AH91" s="505"/>
    </row>
    <row r="92" spans="2:34" ht="15" x14ac:dyDescent="0.25">
      <c r="B92" s="506" t="s">
        <v>197</v>
      </c>
      <c r="C92" s="501"/>
      <c r="D92" s="501"/>
      <c r="E92" s="501"/>
      <c r="F92" s="501"/>
      <c r="G92" s="501"/>
      <c r="H92" s="501"/>
      <c r="I92" s="501"/>
      <c r="J92" s="501"/>
      <c r="K92" s="501"/>
      <c r="L92" s="349"/>
      <c r="M92" s="349"/>
      <c r="N92" s="349"/>
      <c r="O92" s="349"/>
      <c r="P92" s="349"/>
      <c r="Q92" s="349"/>
      <c r="R92" s="349"/>
      <c r="S92" s="349"/>
      <c r="T92" s="349"/>
      <c r="U92" s="349"/>
      <c r="V92" s="502"/>
      <c r="W92" s="386"/>
      <c r="X92" s="503"/>
      <c r="Y92" s="503"/>
      <c r="Z92" s="503"/>
      <c r="AA92" s="503"/>
      <c r="AB92" s="503"/>
      <c r="AC92" s="504"/>
      <c r="AD92" s="504"/>
      <c r="AE92" s="504"/>
      <c r="AF92" s="504"/>
      <c r="AG92" s="505"/>
      <c r="AH92" s="505"/>
    </row>
    <row r="93" spans="2:34" ht="15" x14ac:dyDescent="0.25">
      <c r="B93" s="506" t="s">
        <v>198</v>
      </c>
      <c r="C93" s="501"/>
      <c r="D93" s="501"/>
      <c r="E93" s="501"/>
      <c r="F93" s="501"/>
      <c r="G93" s="501"/>
      <c r="H93" s="501"/>
      <c r="I93" s="501"/>
      <c r="J93" s="501"/>
      <c r="K93" s="501"/>
      <c r="L93" s="349"/>
      <c r="M93" s="349"/>
      <c r="N93" s="349"/>
      <c r="O93" s="349"/>
      <c r="P93" s="349"/>
      <c r="Q93" s="349"/>
      <c r="R93" s="349"/>
      <c r="S93" s="349"/>
      <c r="T93" s="349"/>
      <c r="U93" s="349"/>
      <c r="V93" s="502"/>
      <c r="W93" s="386"/>
      <c r="X93" s="503"/>
      <c r="Y93" s="503"/>
      <c r="Z93" s="503"/>
      <c r="AA93" s="503"/>
      <c r="AB93" s="503"/>
      <c r="AC93" s="504"/>
      <c r="AD93" s="504"/>
      <c r="AE93" s="504"/>
      <c r="AF93" s="504"/>
      <c r="AG93" s="505"/>
      <c r="AH93" s="505"/>
    </row>
    <row r="94" spans="2:34" ht="15" x14ac:dyDescent="0.25">
      <c r="B94" s="506" t="s">
        <v>199</v>
      </c>
      <c r="C94" s="501"/>
      <c r="D94" s="501"/>
      <c r="E94" s="501"/>
      <c r="F94" s="501"/>
      <c r="G94" s="501"/>
      <c r="H94" s="501"/>
      <c r="I94" s="501"/>
      <c r="J94" s="501"/>
      <c r="K94" s="501"/>
      <c r="L94" s="349"/>
      <c r="M94" s="349"/>
      <c r="N94" s="349"/>
      <c r="O94" s="349"/>
      <c r="P94" s="349"/>
      <c r="Q94" s="349"/>
      <c r="R94" s="349"/>
      <c r="S94" s="349"/>
      <c r="T94" s="349"/>
      <c r="U94" s="349"/>
      <c r="V94" s="502"/>
      <c r="W94" s="386"/>
      <c r="X94" s="503"/>
      <c r="Y94" s="503"/>
      <c r="Z94" s="503"/>
      <c r="AA94" s="503"/>
      <c r="AB94" s="503"/>
      <c r="AC94" s="504"/>
      <c r="AD94" s="504"/>
      <c r="AE94" s="504"/>
      <c r="AF94" s="504"/>
      <c r="AG94" s="505"/>
      <c r="AH94" s="505"/>
    </row>
    <row r="95" spans="2:34" ht="15" x14ac:dyDescent="0.25">
      <c r="B95" s="506" t="s">
        <v>200</v>
      </c>
      <c r="C95" s="501"/>
      <c r="D95" s="501"/>
      <c r="E95" s="501"/>
      <c r="F95" s="501"/>
      <c r="G95" s="501"/>
      <c r="H95" s="501"/>
      <c r="I95" s="501"/>
      <c r="J95" s="501"/>
      <c r="K95" s="501"/>
      <c r="L95" s="349"/>
      <c r="M95" s="349"/>
      <c r="N95" s="349"/>
      <c r="O95" s="349"/>
      <c r="P95" s="349"/>
      <c r="Q95" s="349"/>
      <c r="R95" s="349"/>
      <c r="S95" s="349"/>
      <c r="T95" s="349"/>
      <c r="U95" s="349"/>
      <c r="V95" s="502"/>
      <c r="W95" s="386"/>
      <c r="X95" s="503"/>
      <c r="Y95" s="503"/>
      <c r="Z95" s="503"/>
      <c r="AA95" s="503"/>
      <c r="AB95" s="503"/>
      <c r="AC95" s="504"/>
      <c r="AD95" s="504"/>
      <c r="AE95" s="504"/>
      <c r="AF95" s="504"/>
      <c r="AG95" s="505"/>
      <c r="AH95" s="505"/>
    </row>
    <row r="96" spans="2:34" ht="15" x14ac:dyDescent="0.25">
      <c r="B96" s="506" t="s">
        <v>201</v>
      </c>
      <c r="C96" s="501"/>
      <c r="D96" s="501"/>
      <c r="E96" s="501"/>
      <c r="F96" s="501"/>
      <c r="G96" s="501"/>
      <c r="H96" s="501"/>
      <c r="I96" s="501"/>
      <c r="J96" s="501"/>
      <c r="K96" s="501"/>
      <c r="L96" s="349"/>
      <c r="M96" s="349"/>
      <c r="N96" s="349"/>
      <c r="O96" s="349"/>
      <c r="P96" s="349"/>
      <c r="Q96" s="349"/>
      <c r="R96" s="349"/>
      <c r="S96" s="349"/>
      <c r="T96" s="349"/>
      <c r="U96" s="349"/>
      <c r="V96" s="502"/>
      <c r="W96" s="386"/>
      <c r="X96" s="503"/>
      <c r="Y96" s="503"/>
      <c r="Z96" s="503"/>
      <c r="AA96" s="503"/>
      <c r="AB96" s="503"/>
      <c r="AC96" s="504"/>
      <c r="AD96" s="504"/>
      <c r="AE96" s="504"/>
      <c r="AF96" s="504"/>
      <c r="AG96" s="505"/>
      <c r="AH96" s="505"/>
    </row>
    <row r="97" spans="2:34" ht="15" x14ac:dyDescent="0.25">
      <c r="B97" s="506" t="s">
        <v>202</v>
      </c>
      <c r="C97" s="501"/>
      <c r="D97" s="501"/>
      <c r="E97" s="501"/>
      <c r="F97" s="501"/>
      <c r="G97" s="501"/>
      <c r="H97" s="501"/>
      <c r="I97" s="501"/>
      <c r="J97" s="501"/>
      <c r="K97" s="501"/>
      <c r="L97" s="349"/>
      <c r="M97" s="349"/>
      <c r="N97" s="349"/>
      <c r="O97" s="349"/>
      <c r="P97" s="349"/>
      <c r="Q97" s="349"/>
      <c r="R97" s="349"/>
      <c r="S97" s="349"/>
      <c r="T97" s="349"/>
      <c r="U97" s="349"/>
      <c r="V97" s="502"/>
      <c r="W97" s="386"/>
      <c r="X97" s="503"/>
      <c r="Y97" s="503"/>
      <c r="Z97" s="503"/>
      <c r="AA97" s="503"/>
      <c r="AB97" s="503"/>
      <c r="AC97" s="504"/>
      <c r="AD97" s="504"/>
      <c r="AE97" s="504"/>
      <c r="AF97" s="504"/>
      <c r="AG97" s="505"/>
      <c r="AH97" s="505"/>
    </row>
    <row r="98" spans="2:34" ht="15" x14ac:dyDescent="0.25">
      <c r="B98" s="506" t="s">
        <v>203</v>
      </c>
      <c r="C98" s="501"/>
      <c r="D98" s="501"/>
      <c r="E98" s="501"/>
      <c r="F98" s="501"/>
      <c r="G98" s="501"/>
      <c r="H98" s="501"/>
      <c r="I98" s="501"/>
      <c r="J98" s="501"/>
      <c r="K98" s="501"/>
      <c r="L98" s="349"/>
      <c r="M98" s="349"/>
      <c r="N98" s="349"/>
      <c r="O98" s="349"/>
      <c r="P98" s="349"/>
      <c r="Q98" s="349"/>
      <c r="R98" s="349"/>
      <c r="S98" s="349"/>
      <c r="T98" s="349"/>
      <c r="U98" s="349"/>
      <c r="V98" s="502"/>
      <c r="W98" s="386"/>
      <c r="X98" s="503"/>
      <c r="Y98" s="503"/>
      <c r="Z98" s="503"/>
      <c r="AA98" s="503"/>
      <c r="AB98" s="503"/>
      <c r="AC98" s="504"/>
      <c r="AD98" s="504"/>
      <c r="AE98" s="504"/>
      <c r="AF98" s="504"/>
      <c r="AG98" s="505"/>
      <c r="AH98" s="505"/>
    </row>
    <row r="99" spans="2:34" ht="15" x14ac:dyDescent="0.25">
      <c r="B99" s="506" t="s">
        <v>204</v>
      </c>
      <c r="C99" s="501"/>
      <c r="D99" s="501"/>
      <c r="E99" s="501"/>
      <c r="F99" s="501"/>
      <c r="G99" s="501"/>
      <c r="H99" s="501"/>
      <c r="I99" s="501"/>
      <c r="J99" s="501"/>
      <c r="K99" s="501"/>
      <c r="L99" s="349"/>
      <c r="M99" s="349"/>
      <c r="N99" s="349"/>
      <c r="O99" s="349"/>
      <c r="P99" s="349"/>
      <c r="Q99" s="349"/>
      <c r="R99" s="349"/>
      <c r="S99" s="349"/>
      <c r="T99" s="349"/>
      <c r="U99" s="349"/>
      <c r="V99" s="502"/>
      <c r="W99" s="386"/>
      <c r="X99" s="503"/>
      <c r="Y99" s="503"/>
      <c r="Z99" s="503"/>
      <c r="AA99" s="503"/>
      <c r="AB99" s="503"/>
      <c r="AC99" s="504"/>
      <c r="AD99" s="504"/>
      <c r="AE99" s="504"/>
      <c r="AF99" s="504"/>
      <c r="AG99" s="505"/>
      <c r="AH99" s="505"/>
    </row>
    <row r="100" spans="2:34" ht="15" x14ac:dyDescent="0.25">
      <c r="B100" s="506" t="s">
        <v>205</v>
      </c>
      <c r="C100" s="501"/>
      <c r="D100" s="501"/>
      <c r="E100" s="501"/>
      <c r="F100" s="501"/>
      <c r="G100" s="501"/>
      <c r="H100" s="501"/>
      <c r="I100" s="501"/>
      <c r="J100" s="501"/>
      <c r="K100" s="501"/>
      <c r="L100" s="349"/>
      <c r="M100" s="349"/>
      <c r="N100" s="349"/>
      <c r="O100" s="349"/>
      <c r="P100" s="349"/>
      <c r="Q100" s="349"/>
      <c r="R100" s="349"/>
      <c r="S100" s="349"/>
      <c r="T100" s="349"/>
      <c r="U100" s="349"/>
      <c r="V100" s="502"/>
      <c r="W100" s="386"/>
      <c r="X100" s="503"/>
      <c r="Y100" s="503"/>
      <c r="Z100" s="503"/>
      <c r="AA100" s="503"/>
      <c r="AB100" s="503"/>
      <c r="AC100" s="504"/>
      <c r="AD100" s="504"/>
      <c r="AE100" s="504"/>
      <c r="AF100" s="504"/>
      <c r="AG100" s="505"/>
      <c r="AH100" s="505"/>
    </row>
    <row r="101" spans="2:34" ht="15" x14ac:dyDescent="0.25">
      <c r="B101" s="506" t="s">
        <v>206</v>
      </c>
      <c r="C101" s="501"/>
      <c r="D101" s="501"/>
      <c r="E101" s="501"/>
      <c r="F101" s="501"/>
      <c r="G101" s="501"/>
      <c r="H101" s="501"/>
      <c r="I101" s="501"/>
      <c r="J101" s="501"/>
      <c r="K101" s="501"/>
      <c r="L101" s="349"/>
      <c r="M101" s="349"/>
      <c r="N101" s="349"/>
      <c r="O101" s="349"/>
      <c r="P101" s="349"/>
      <c r="Q101" s="349"/>
      <c r="R101" s="349"/>
      <c r="S101" s="349"/>
      <c r="T101" s="349"/>
      <c r="U101" s="349"/>
      <c r="V101" s="502"/>
      <c r="W101" s="386"/>
      <c r="X101" s="503"/>
      <c r="Y101" s="503"/>
      <c r="Z101" s="503"/>
      <c r="AA101" s="503"/>
      <c r="AB101" s="503"/>
      <c r="AC101" s="504"/>
      <c r="AD101" s="504"/>
      <c r="AE101" s="504"/>
      <c r="AF101" s="504"/>
      <c r="AG101" s="505"/>
      <c r="AH101" s="505"/>
    </row>
    <row r="102" spans="2:34" ht="15" x14ac:dyDescent="0.25">
      <c r="B102" s="506" t="s">
        <v>207</v>
      </c>
      <c r="C102" s="501"/>
      <c r="D102" s="501"/>
      <c r="E102" s="501"/>
      <c r="F102" s="501"/>
      <c r="G102" s="501"/>
      <c r="H102" s="501"/>
      <c r="I102" s="501"/>
      <c r="J102" s="501"/>
      <c r="K102" s="501"/>
      <c r="L102" s="349"/>
      <c r="M102" s="349"/>
      <c r="N102" s="349"/>
      <c r="O102" s="349"/>
      <c r="P102" s="349"/>
      <c r="Q102" s="349"/>
      <c r="R102" s="349"/>
      <c r="S102" s="349"/>
      <c r="T102" s="349"/>
      <c r="U102" s="349"/>
      <c r="V102" s="502"/>
      <c r="W102" s="386"/>
      <c r="X102" s="503"/>
      <c r="Y102" s="503"/>
      <c r="Z102" s="503"/>
      <c r="AA102" s="503"/>
      <c r="AB102" s="503"/>
      <c r="AC102" s="504"/>
      <c r="AD102" s="504"/>
      <c r="AE102" s="504"/>
      <c r="AF102" s="504"/>
      <c r="AG102" s="505"/>
      <c r="AH102" s="505"/>
    </row>
    <row r="103" spans="2:34" ht="15" x14ac:dyDescent="0.25">
      <c r="B103" s="506" t="s">
        <v>208</v>
      </c>
      <c r="C103" s="501"/>
      <c r="D103" s="501"/>
      <c r="E103" s="501"/>
      <c r="F103" s="501"/>
      <c r="G103" s="501"/>
      <c r="H103" s="501"/>
      <c r="I103" s="501"/>
      <c r="J103" s="501"/>
      <c r="K103" s="501"/>
      <c r="L103" s="349"/>
      <c r="M103" s="349"/>
      <c r="N103" s="349"/>
      <c r="O103" s="349"/>
      <c r="P103" s="349"/>
      <c r="Q103" s="349"/>
      <c r="R103" s="349"/>
      <c r="S103" s="349"/>
      <c r="T103" s="349"/>
      <c r="U103" s="349"/>
      <c r="V103" s="502"/>
      <c r="W103" s="386"/>
      <c r="X103" s="503"/>
      <c r="Y103" s="503"/>
      <c r="Z103" s="503"/>
      <c r="AA103" s="503"/>
      <c r="AB103" s="503"/>
      <c r="AC103" s="504"/>
      <c r="AD103" s="504"/>
      <c r="AE103" s="504"/>
      <c r="AF103" s="504"/>
      <c r="AG103" s="505"/>
      <c r="AH103" s="505"/>
    </row>
    <row r="104" spans="2:34" ht="15" x14ac:dyDescent="0.25">
      <c r="B104" s="506" t="s">
        <v>209</v>
      </c>
      <c r="C104" s="501"/>
      <c r="D104" s="501"/>
      <c r="E104" s="501"/>
      <c r="F104" s="501"/>
      <c r="G104" s="501"/>
      <c r="H104" s="501"/>
      <c r="I104" s="501"/>
      <c r="J104" s="501"/>
      <c r="K104" s="501"/>
      <c r="L104" s="349"/>
      <c r="M104" s="349"/>
      <c r="N104" s="349"/>
      <c r="O104" s="349"/>
      <c r="P104" s="349"/>
      <c r="Q104" s="349"/>
      <c r="R104" s="349"/>
      <c r="S104" s="349"/>
      <c r="T104" s="349"/>
      <c r="U104" s="349"/>
      <c r="V104" s="502"/>
      <c r="W104" s="386"/>
      <c r="X104" s="503"/>
      <c r="Y104" s="503"/>
      <c r="Z104" s="503"/>
      <c r="AA104" s="503"/>
      <c r="AB104" s="503"/>
      <c r="AC104" s="504"/>
      <c r="AD104" s="504"/>
      <c r="AE104" s="504"/>
      <c r="AF104" s="504"/>
      <c r="AG104" s="505"/>
      <c r="AH104" s="505"/>
    </row>
    <row r="105" spans="2:34" ht="15" x14ac:dyDescent="0.25">
      <c r="B105" s="506" t="s">
        <v>210</v>
      </c>
      <c r="C105" s="501"/>
      <c r="D105" s="501"/>
      <c r="E105" s="501"/>
      <c r="F105" s="501"/>
      <c r="G105" s="501"/>
      <c r="H105" s="501"/>
      <c r="I105" s="501"/>
      <c r="J105" s="501"/>
      <c r="K105" s="501"/>
      <c r="L105" s="349"/>
      <c r="M105" s="349"/>
      <c r="N105" s="349"/>
      <c r="O105" s="349"/>
      <c r="P105" s="349"/>
      <c r="Q105" s="349"/>
      <c r="R105" s="349"/>
      <c r="S105" s="349"/>
      <c r="T105" s="349"/>
      <c r="U105" s="349"/>
      <c r="V105" s="502"/>
      <c r="W105" s="386"/>
      <c r="X105" s="503"/>
      <c r="Y105" s="503"/>
      <c r="Z105" s="503"/>
      <c r="AA105" s="503"/>
      <c r="AB105" s="503"/>
      <c r="AC105" s="504"/>
      <c r="AD105" s="504"/>
      <c r="AE105" s="504"/>
      <c r="AF105" s="504"/>
      <c r="AG105" s="505"/>
      <c r="AH105" s="505"/>
    </row>
    <row r="106" spans="2:34" ht="15" x14ac:dyDescent="0.25">
      <c r="B106" s="506" t="s">
        <v>211</v>
      </c>
      <c r="C106" s="501"/>
      <c r="D106" s="501"/>
      <c r="E106" s="501"/>
      <c r="F106" s="501"/>
      <c r="G106" s="501"/>
      <c r="H106" s="501"/>
      <c r="I106" s="501"/>
      <c r="J106" s="501"/>
      <c r="K106" s="501"/>
      <c r="L106" s="349"/>
      <c r="M106" s="349"/>
      <c r="N106" s="349"/>
      <c r="O106" s="349"/>
      <c r="P106" s="349"/>
      <c r="Q106" s="349"/>
      <c r="R106" s="349"/>
      <c r="S106" s="349"/>
      <c r="T106" s="349"/>
      <c r="U106" s="349"/>
      <c r="V106" s="502"/>
      <c r="W106" s="386"/>
      <c r="X106" s="503"/>
      <c r="Y106" s="503"/>
      <c r="Z106" s="503"/>
      <c r="AA106" s="503"/>
      <c r="AB106" s="503"/>
      <c r="AC106" s="504"/>
      <c r="AD106" s="504"/>
      <c r="AE106" s="504"/>
      <c r="AF106" s="504"/>
      <c r="AG106" s="505"/>
      <c r="AH106" s="505"/>
    </row>
    <row r="107" spans="2:34" ht="15" x14ac:dyDescent="0.25">
      <c r="B107" s="506" t="s">
        <v>212</v>
      </c>
      <c r="C107" s="501"/>
      <c r="D107" s="501"/>
      <c r="E107" s="501"/>
      <c r="F107" s="501"/>
      <c r="G107" s="501"/>
      <c r="H107" s="501"/>
      <c r="I107" s="501"/>
      <c r="J107" s="501"/>
      <c r="K107" s="501"/>
      <c r="L107" s="349"/>
      <c r="M107" s="349"/>
      <c r="N107" s="349"/>
      <c r="O107" s="349"/>
      <c r="P107" s="349"/>
      <c r="Q107" s="349"/>
      <c r="R107" s="349"/>
      <c r="S107" s="349"/>
      <c r="T107" s="349"/>
      <c r="U107" s="349"/>
      <c r="V107" s="502"/>
      <c r="W107" s="386"/>
      <c r="X107" s="503"/>
      <c r="Y107" s="503"/>
      <c r="Z107" s="503"/>
      <c r="AA107" s="503"/>
      <c r="AB107" s="503"/>
      <c r="AC107" s="504"/>
      <c r="AD107" s="504"/>
      <c r="AE107" s="504"/>
      <c r="AF107" s="504"/>
      <c r="AG107" s="505"/>
      <c r="AH107" s="505"/>
    </row>
    <row r="108" spans="2:34" ht="15" x14ac:dyDescent="0.25">
      <c r="B108" s="506" t="s">
        <v>213</v>
      </c>
      <c r="C108" s="501"/>
      <c r="D108" s="501"/>
      <c r="E108" s="501"/>
      <c r="F108" s="501"/>
      <c r="G108" s="501"/>
      <c r="H108" s="501"/>
      <c r="I108" s="501"/>
      <c r="J108" s="501"/>
      <c r="K108" s="501"/>
      <c r="L108" s="349"/>
      <c r="M108" s="349"/>
      <c r="N108" s="349"/>
      <c r="O108" s="349"/>
      <c r="P108" s="349"/>
      <c r="Q108" s="349"/>
      <c r="R108" s="349"/>
      <c r="S108" s="349"/>
      <c r="T108" s="349"/>
      <c r="U108" s="349"/>
      <c r="V108" s="502"/>
      <c r="W108" s="386"/>
      <c r="X108" s="503"/>
      <c r="Y108" s="503"/>
      <c r="Z108" s="503"/>
      <c r="AA108" s="503"/>
      <c r="AB108" s="503"/>
      <c r="AC108" s="504"/>
      <c r="AD108" s="504"/>
      <c r="AE108" s="504"/>
      <c r="AF108" s="504"/>
      <c r="AG108" s="505"/>
      <c r="AH108" s="505"/>
    </row>
    <row r="109" spans="2:34" ht="15" x14ac:dyDescent="0.25">
      <c r="B109" s="506" t="s">
        <v>214</v>
      </c>
      <c r="C109" s="501"/>
      <c r="D109" s="501"/>
      <c r="E109" s="501"/>
      <c r="F109" s="501"/>
      <c r="G109" s="501"/>
      <c r="H109" s="501"/>
      <c r="I109" s="501"/>
      <c r="J109" s="501"/>
      <c r="K109" s="501"/>
      <c r="L109" s="349"/>
      <c r="M109" s="349"/>
      <c r="N109" s="349"/>
      <c r="O109" s="349"/>
      <c r="P109" s="349"/>
      <c r="Q109" s="349"/>
      <c r="R109" s="349"/>
      <c r="S109" s="349"/>
      <c r="T109" s="349"/>
      <c r="U109" s="349"/>
      <c r="V109" s="502"/>
      <c r="W109" s="386"/>
      <c r="X109" s="503"/>
      <c r="Y109" s="503"/>
      <c r="Z109" s="503"/>
      <c r="AA109" s="503"/>
      <c r="AB109" s="503"/>
      <c r="AC109" s="504"/>
      <c r="AD109" s="504"/>
      <c r="AE109" s="504"/>
      <c r="AF109" s="504"/>
      <c r="AG109" s="505"/>
      <c r="AH109" s="505"/>
    </row>
    <row r="110" spans="2:34" ht="15" x14ac:dyDescent="0.25">
      <c r="B110" s="506" t="s">
        <v>215</v>
      </c>
      <c r="C110" s="501"/>
      <c r="D110" s="501"/>
      <c r="E110" s="501"/>
      <c r="F110" s="501"/>
      <c r="G110" s="501"/>
      <c r="H110" s="501"/>
      <c r="I110" s="501"/>
      <c r="J110" s="501"/>
      <c r="K110" s="501"/>
      <c r="L110" s="349"/>
      <c r="M110" s="349"/>
      <c r="N110" s="349"/>
      <c r="O110" s="349"/>
      <c r="P110" s="349"/>
      <c r="Q110" s="349"/>
      <c r="R110" s="349"/>
      <c r="S110" s="349"/>
      <c r="T110" s="349"/>
      <c r="U110" s="349"/>
      <c r="V110" s="502"/>
      <c r="W110" s="386"/>
      <c r="X110" s="503"/>
      <c r="Y110" s="503"/>
      <c r="Z110" s="503"/>
      <c r="AA110" s="503"/>
      <c r="AB110" s="503"/>
      <c r="AC110" s="504"/>
      <c r="AD110" s="504"/>
      <c r="AE110" s="504"/>
      <c r="AF110" s="504"/>
      <c r="AG110" s="505"/>
      <c r="AH110" s="505"/>
    </row>
    <row r="111" spans="2:34" ht="15" x14ac:dyDescent="0.25">
      <c r="B111" s="506" t="s">
        <v>216</v>
      </c>
      <c r="C111" s="501"/>
      <c r="D111" s="501"/>
      <c r="E111" s="501"/>
      <c r="F111" s="501"/>
      <c r="G111" s="501"/>
      <c r="H111" s="501"/>
      <c r="I111" s="501"/>
      <c r="J111" s="501"/>
      <c r="K111" s="501"/>
      <c r="L111" s="349"/>
      <c r="M111" s="349"/>
      <c r="N111" s="349"/>
      <c r="O111" s="349"/>
      <c r="P111" s="349"/>
      <c r="Q111" s="349"/>
      <c r="R111" s="349"/>
      <c r="S111" s="349"/>
      <c r="T111" s="349"/>
      <c r="U111" s="349"/>
      <c r="V111" s="502"/>
      <c r="W111" s="386"/>
      <c r="X111" s="503"/>
      <c r="Y111" s="503"/>
      <c r="Z111" s="503"/>
      <c r="AA111" s="503"/>
      <c r="AB111" s="503"/>
      <c r="AC111" s="504"/>
      <c r="AD111" s="504"/>
      <c r="AE111" s="504"/>
      <c r="AF111" s="504"/>
      <c r="AG111" s="505"/>
      <c r="AH111" s="505"/>
    </row>
    <row r="112" spans="2:34" ht="15" x14ac:dyDescent="0.25">
      <c r="B112" s="506" t="s">
        <v>217</v>
      </c>
      <c r="C112" s="501"/>
      <c r="D112" s="501"/>
      <c r="E112" s="501"/>
      <c r="F112" s="501"/>
      <c r="G112" s="501"/>
      <c r="H112" s="501"/>
      <c r="I112" s="501"/>
      <c r="J112" s="501"/>
      <c r="K112" s="501"/>
      <c r="L112" s="349"/>
      <c r="M112" s="349"/>
      <c r="N112" s="349"/>
      <c r="O112" s="349"/>
      <c r="P112" s="349"/>
      <c r="Q112" s="349"/>
      <c r="R112" s="349"/>
      <c r="S112" s="349"/>
      <c r="T112" s="349"/>
      <c r="U112" s="349"/>
      <c r="V112" s="502"/>
      <c r="W112" s="386"/>
      <c r="X112" s="503"/>
      <c r="Y112" s="503"/>
      <c r="Z112" s="503"/>
      <c r="AA112" s="503"/>
      <c r="AB112" s="503"/>
      <c r="AC112" s="504"/>
      <c r="AD112" s="504"/>
      <c r="AE112" s="504"/>
      <c r="AF112" s="504"/>
      <c r="AG112" s="505"/>
      <c r="AH112" s="505"/>
    </row>
    <row r="113" spans="2:34" ht="15" x14ac:dyDescent="0.25">
      <c r="B113" s="506" t="s">
        <v>218</v>
      </c>
      <c r="C113" s="501"/>
      <c r="D113" s="501"/>
      <c r="E113" s="501"/>
      <c r="F113" s="501"/>
      <c r="G113" s="501"/>
      <c r="H113" s="501"/>
      <c r="I113" s="501"/>
      <c r="J113" s="501"/>
      <c r="K113" s="501"/>
      <c r="L113" s="349"/>
      <c r="M113" s="349"/>
      <c r="N113" s="349"/>
      <c r="O113" s="349"/>
      <c r="P113" s="349"/>
      <c r="Q113" s="349"/>
      <c r="R113" s="349"/>
      <c r="S113" s="349"/>
      <c r="T113" s="349"/>
      <c r="U113" s="349"/>
      <c r="V113" s="502"/>
      <c r="W113" s="386"/>
      <c r="X113" s="503"/>
      <c r="Y113" s="503"/>
      <c r="Z113" s="503"/>
      <c r="AA113" s="503"/>
      <c r="AB113" s="503"/>
      <c r="AC113" s="504"/>
      <c r="AD113" s="504"/>
      <c r="AE113" s="504"/>
      <c r="AF113" s="504"/>
      <c r="AG113" s="505"/>
      <c r="AH113" s="505"/>
    </row>
    <row r="114" spans="2:34" ht="15" x14ac:dyDescent="0.25">
      <c r="B114" s="506" t="s">
        <v>219</v>
      </c>
      <c r="C114" s="501"/>
      <c r="D114" s="501"/>
      <c r="E114" s="501"/>
      <c r="F114" s="501"/>
      <c r="G114" s="501"/>
      <c r="H114" s="501"/>
      <c r="I114" s="501"/>
      <c r="J114" s="501"/>
      <c r="K114" s="501"/>
      <c r="L114" s="349"/>
      <c r="M114" s="349"/>
      <c r="N114" s="349"/>
      <c r="O114" s="349"/>
      <c r="P114" s="349"/>
      <c r="Q114" s="349"/>
      <c r="R114" s="349"/>
      <c r="S114" s="349"/>
      <c r="T114" s="349"/>
      <c r="U114" s="349"/>
      <c r="V114" s="502"/>
      <c r="W114" s="386"/>
      <c r="X114" s="503"/>
      <c r="Y114" s="503"/>
      <c r="Z114" s="503"/>
      <c r="AA114" s="503"/>
      <c r="AB114" s="503"/>
      <c r="AC114" s="504"/>
      <c r="AD114" s="504"/>
      <c r="AE114" s="504"/>
      <c r="AF114" s="504"/>
      <c r="AG114" s="505"/>
      <c r="AH114" s="505"/>
    </row>
    <row r="115" spans="2:34" ht="15" x14ac:dyDescent="0.25">
      <c r="B115" s="506" t="s">
        <v>220</v>
      </c>
      <c r="C115" s="501"/>
      <c r="D115" s="501"/>
      <c r="E115" s="501"/>
      <c r="F115" s="501"/>
      <c r="G115" s="501"/>
      <c r="H115" s="501"/>
      <c r="I115" s="501"/>
      <c r="J115" s="501"/>
      <c r="K115" s="501"/>
      <c r="L115" s="349"/>
      <c r="M115" s="349"/>
      <c r="N115" s="349"/>
      <c r="O115" s="349"/>
      <c r="P115" s="349"/>
      <c r="Q115" s="349"/>
      <c r="R115" s="349"/>
      <c r="S115" s="349"/>
      <c r="T115" s="349"/>
      <c r="U115" s="349"/>
      <c r="V115" s="502"/>
      <c r="W115" s="386"/>
      <c r="X115" s="503"/>
      <c r="Y115" s="503"/>
      <c r="Z115" s="503"/>
      <c r="AA115" s="503"/>
      <c r="AB115" s="503"/>
      <c r="AC115" s="504"/>
      <c r="AD115" s="504"/>
      <c r="AE115" s="504"/>
      <c r="AF115" s="504"/>
      <c r="AG115" s="505"/>
      <c r="AH115" s="505"/>
    </row>
    <row r="116" spans="2:34" ht="15" x14ac:dyDescent="0.25">
      <c r="B116" s="506" t="s">
        <v>221</v>
      </c>
      <c r="C116" s="501"/>
      <c r="D116" s="501"/>
      <c r="E116" s="501"/>
      <c r="F116" s="501"/>
      <c r="G116" s="501"/>
      <c r="H116" s="501"/>
      <c r="I116" s="501"/>
      <c r="J116" s="501"/>
      <c r="K116" s="501"/>
      <c r="L116" s="349"/>
      <c r="M116" s="349"/>
      <c r="N116" s="349"/>
      <c r="O116" s="349"/>
      <c r="P116" s="349"/>
      <c r="Q116" s="349"/>
      <c r="R116" s="349"/>
      <c r="S116" s="349"/>
      <c r="T116" s="349"/>
      <c r="U116" s="349"/>
      <c r="V116" s="502"/>
      <c r="W116" s="386"/>
      <c r="X116" s="503"/>
      <c r="Y116" s="503"/>
      <c r="Z116" s="503"/>
      <c r="AA116" s="503"/>
      <c r="AB116" s="503"/>
      <c r="AC116" s="504"/>
      <c r="AD116" s="504"/>
      <c r="AE116" s="504"/>
      <c r="AF116" s="504"/>
      <c r="AG116" s="505"/>
      <c r="AH116" s="505"/>
    </row>
    <row r="117" spans="2:34" ht="15" x14ac:dyDescent="0.25">
      <c r="B117" s="506" t="s">
        <v>222</v>
      </c>
      <c r="C117" s="501"/>
      <c r="D117" s="501"/>
      <c r="E117" s="501"/>
      <c r="F117" s="501"/>
      <c r="G117" s="501"/>
      <c r="H117" s="501"/>
      <c r="I117" s="501"/>
      <c r="J117" s="501"/>
      <c r="K117" s="501"/>
      <c r="L117" s="349"/>
      <c r="M117" s="349"/>
      <c r="N117" s="349"/>
      <c r="O117" s="349"/>
      <c r="P117" s="349"/>
      <c r="Q117" s="349"/>
      <c r="R117" s="349"/>
      <c r="S117" s="349"/>
      <c r="T117" s="349"/>
      <c r="U117" s="349"/>
      <c r="V117" s="502"/>
      <c r="W117" s="386"/>
      <c r="X117" s="503"/>
      <c r="Y117" s="503"/>
      <c r="Z117" s="503"/>
      <c r="AA117" s="503"/>
      <c r="AB117" s="503"/>
      <c r="AC117" s="504"/>
      <c r="AD117" s="504"/>
      <c r="AE117" s="504"/>
      <c r="AF117" s="504"/>
      <c r="AG117" s="505"/>
      <c r="AH117" s="505"/>
    </row>
    <row r="118" spans="2:34" ht="15" x14ac:dyDescent="0.25">
      <c r="B118" s="506" t="s">
        <v>223</v>
      </c>
      <c r="C118" s="501"/>
      <c r="D118" s="501"/>
      <c r="E118" s="501"/>
      <c r="F118" s="501"/>
      <c r="G118" s="501"/>
      <c r="H118" s="501"/>
      <c r="I118" s="501"/>
      <c r="J118" s="501"/>
      <c r="K118" s="501"/>
      <c r="L118" s="349"/>
      <c r="M118" s="349"/>
      <c r="N118" s="349"/>
      <c r="O118" s="349"/>
      <c r="P118" s="349"/>
      <c r="Q118" s="349"/>
      <c r="R118" s="349"/>
      <c r="S118" s="349"/>
      <c r="T118" s="349"/>
      <c r="U118" s="349"/>
      <c r="V118" s="502"/>
      <c r="W118" s="386"/>
      <c r="X118" s="503"/>
      <c r="Y118" s="503"/>
      <c r="Z118" s="503"/>
      <c r="AA118" s="503"/>
      <c r="AB118" s="503"/>
      <c r="AC118" s="504"/>
      <c r="AD118" s="504"/>
      <c r="AE118" s="504"/>
      <c r="AF118" s="504"/>
      <c r="AG118" s="505"/>
      <c r="AH118" s="505"/>
    </row>
    <row r="119" spans="2:34" ht="15" x14ac:dyDescent="0.25">
      <c r="B119" s="506" t="s">
        <v>224</v>
      </c>
      <c r="C119" s="501"/>
      <c r="D119" s="501"/>
      <c r="E119" s="501"/>
      <c r="F119" s="501"/>
      <c r="G119" s="501"/>
      <c r="H119" s="501"/>
      <c r="I119" s="501"/>
      <c r="J119" s="501"/>
      <c r="K119" s="501"/>
      <c r="L119" s="349"/>
      <c r="M119" s="349"/>
      <c r="N119" s="349"/>
      <c r="O119" s="349"/>
      <c r="P119" s="349"/>
      <c r="Q119" s="349"/>
      <c r="R119" s="349"/>
      <c r="S119" s="349"/>
      <c r="T119" s="349"/>
      <c r="U119" s="349"/>
      <c r="V119" s="502"/>
      <c r="W119" s="386"/>
      <c r="X119" s="503"/>
      <c r="Y119" s="503"/>
      <c r="Z119" s="503"/>
      <c r="AA119" s="503"/>
      <c r="AB119" s="503"/>
      <c r="AC119" s="504"/>
      <c r="AD119" s="504"/>
      <c r="AE119" s="504"/>
      <c r="AF119" s="504"/>
      <c r="AG119" s="505"/>
      <c r="AH119" s="505"/>
    </row>
    <row r="120" spans="2:34" ht="15" x14ac:dyDescent="0.25">
      <c r="B120" s="506" t="s">
        <v>225</v>
      </c>
      <c r="C120" s="501"/>
      <c r="D120" s="501"/>
      <c r="E120" s="501"/>
      <c r="F120" s="501"/>
      <c r="G120" s="501"/>
      <c r="H120" s="501"/>
      <c r="I120" s="501"/>
      <c r="J120" s="501"/>
      <c r="K120" s="501"/>
      <c r="L120" s="349"/>
      <c r="M120" s="349"/>
      <c r="N120" s="349"/>
      <c r="O120" s="349"/>
      <c r="P120" s="349"/>
      <c r="Q120" s="349"/>
      <c r="R120" s="349"/>
      <c r="S120" s="349"/>
      <c r="T120" s="349"/>
      <c r="U120" s="349"/>
      <c r="V120" s="502"/>
      <c r="W120" s="386"/>
      <c r="X120" s="503"/>
      <c r="Y120" s="503"/>
      <c r="Z120" s="503"/>
      <c r="AA120" s="503"/>
      <c r="AB120" s="503"/>
      <c r="AC120" s="504"/>
      <c r="AD120" s="504"/>
      <c r="AE120" s="504"/>
      <c r="AF120" s="504"/>
      <c r="AG120" s="505"/>
      <c r="AH120" s="505"/>
    </row>
    <row r="121" spans="2:34" ht="15" x14ac:dyDescent="0.25">
      <c r="B121" s="506" t="s">
        <v>226</v>
      </c>
      <c r="C121" s="501"/>
      <c r="D121" s="501"/>
      <c r="E121" s="501"/>
      <c r="F121" s="501"/>
      <c r="G121" s="501"/>
      <c r="H121" s="501"/>
      <c r="I121" s="501"/>
      <c r="J121" s="501"/>
      <c r="K121" s="501"/>
      <c r="L121" s="349"/>
      <c r="M121" s="349"/>
      <c r="N121" s="349"/>
      <c r="O121" s="349"/>
      <c r="P121" s="349"/>
      <c r="Q121" s="349"/>
      <c r="R121" s="349"/>
      <c r="S121" s="349"/>
      <c r="T121" s="349"/>
      <c r="U121" s="349"/>
      <c r="V121" s="502"/>
      <c r="W121" s="386"/>
      <c r="X121" s="503"/>
      <c r="Y121" s="503"/>
      <c r="Z121" s="503"/>
      <c r="AA121" s="503"/>
      <c r="AB121" s="503"/>
      <c r="AC121" s="504"/>
      <c r="AD121" s="504"/>
      <c r="AE121" s="504"/>
      <c r="AF121" s="504"/>
      <c r="AG121" s="505"/>
      <c r="AH121" s="505"/>
    </row>
    <row r="122" spans="2:34" ht="15" x14ac:dyDescent="0.25">
      <c r="B122" s="506" t="s">
        <v>227</v>
      </c>
      <c r="C122" s="501"/>
      <c r="D122" s="501"/>
      <c r="E122" s="501"/>
      <c r="F122" s="501"/>
      <c r="G122" s="501"/>
      <c r="H122" s="501"/>
      <c r="I122" s="501"/>
      <c r="J122" s="501"/>
      <c r="K122" s="501"/>
      <c r="L122" s="349"/>
      <c r="M122" s="349"/>
      <c r="N122" s="349"/>
      <c r="O122" s="349"/>
      <c r="P122" s="349"/>
      <c r="Q122" s="349"/>
      <c r="R122" s="349"/>
      <c r="S122" s="349"/>
      <c r="T122" s="349"/>
      <c r="U122" s="349"/>
      <c r="V122" s="502"/>
      <c r="W122" s="386"/>
      <c r="X122" s="503"/>
      <c r="Y122" s="503"/>
      <c r="Z122" s="503"/>
      <c r="AA122" s="503"/>
      <c r="AB122" s="503"/>
      <c r="AC122" s="504"/>
      <c r="AD122" s="504"/>
      <c r="AE122" s="504"/>
      <c r="AF122" s="504"/>
      <c r="AG122" s="505"/>
      <c r="AH122" s="505"/>
    </row>
    <row r="123" spans="2:34" ht="15" x14ac:dyDescent="0.25">
      <c r="B123" s="506" t="s">
        <v>228</v>
      </c>
      <c r="C123" s="501"/>
      <c r="D123" s="501"/>
      <c r="E123" s="501"/>
      <c r="F123" s="501"/>
      <c r="G123" s="501"/>
      <c r="H123" s="501"/>
      <c r="I123" s="501"/>
      <c r="J123" s="501"/>
      <c r="K123" s="501"/>
      <c r="L123" s="349"/>
      <c r="M123" s="349"/>
      <c r="N123" s="349"/>
      <c r="O123" s="349"/>
      <c r="P123" s="349"/>
      <c r="Q123" s="349"/>
      <c r="R123" s="349"/>
      <c r="S123" s="349"/>
      <c r="T123" s="349"/>
      <c r="U123" s="349"/>
      <c r="V123" s="502"/>
      <c r="W123" s="386"/>
      <c r="X123" s="503"/>
      <c r="Y123" s="503"/>
      <c r="Z123" s="503"/>
      <c r="AA123" s="503"/>
      <c r="AB123" s="503"/>
      <c r="AC123" s="504"/>
      <c r="AD123" s="504"/>
      <c r="AE123" s="504"/>
      <c r="AF123" s="504"/>
      <c r="AG123" s="505"/>
      <c r="AH123" s="505"/>
    </row>
    <row r="124" spans="2:34" ht="15" x14ac:dyDescent="0.25">
      <c r="B124" s="506" t="s">
        <v>229</v>
      </c>
      <c r="C124" s="501"/>
      <c r="D124" s="501"/>
      <c r="E124" s="501"/>
      <c r="F124" s="501"/>
      <c r="G124" s="501"/>
      <c r="H124" s="501"/>
      <c r="I124" s="501"/>
      <c r="J124" s="501"/>
      <c r="K124" s="501"/>
      <c r="L124" s="349"/>
      <c r="M124" s="349"/>
      <c r="N124" s="349"/>
      <c r="O124" s="349"/>
      <c r="P124" s="349"/>
      <c r="Q124" s="349"/>
      <c r="R124" s="349"/>
      <c r="S124" s="349"/>
      <c r="T124" s="349"/>
      <c r="U124" s="349"/>
      <c r="V124" s="502"/>
      <c r="W124" s="386"/>
      <c r="X124" s="503"/>
      <c r="Y124" s="503"/>
      <c r="Z124" s="503"/>
      <c r="AA124" s="503"/>
      <c r="AB124" s="503"/>
      <c r="AC124" s="504"/>
      <c r="AD124" s="504"/>
      <c r="AE124" s="504"/>
      <c r="AF124" s="504"/>
      <c r="AG124" s="505"/>
      <c r="AH124" s="505"/>
    </row>
    <row r="125" spans="2:34" ht="15" x14ac:dyDescent="0.25">
      <c r="B125" s="506" t="s">
        <v>230</v>
      </c>
      <c r="C125" s="501"/>
      <c r="D125" s="501"/>
      <c r="E125" s="501"/>
      <c r="F125" s="501"/>
      <c r="G125" s="501"/>
      <c r="H125" s="501"/>
      <c r="I125" s="501"/>
      <c r="J125" s="501"/>
      <c r="K125" s="501"/>
      <c r="L125" s="349"/>
      <c r="M125" s="349"/>
      <c r="N125" s="349"/>
      <c r="O125" s="349"/>
      <c r="P125" s="349"/>
      <c r="Q125" s="349"/>
      <c r="R125" s="349"/>
      <c r="S125" s="349"/>
      <c r="T125" s="349"/>
      <c r="U125" s="349"/>
      <c r="V125" s="502"/>
      <c r="W125" s="386"/>
      <c r="X125" s="503"/>
      <c r="Y125" s="503"/>
      <c r="Z125" s="503"/>
      <c r="AA125" s="503"/>
      <c r="AB125" s="503"/>
      <c r="AC125" s="504"/>
      <c r="AD125" s="504"/>
      <c r="AE125" s="504"/>
      <c r="AF125" s="504"/>
      <c r="AG125" s="505"/>
      <c r="AH125" s="505"/>
    </row>
    <row r="126" spans="2:34" ht="15" x14ac:dyDescent="0.25">
      <c r="B126" s="506" t="s">
        <v>231</v>
      </c>
      <c r="C126" s="501"/>
      <c r="D126" s="501"/>
      <c r="E126" s="501"/>
      <c r="F126" s="501"/>
      <c r="G126" s="501"/>
      <c r="H126" s="501"/>
      <c r="I126" s="501"/>
      <c r="J126" s="501"/>
      <c r="K126" s="501"/>
      <c r="L126" s="349"/>
      <c r="M126" s="349"/>
      <c r="N126" s="349"/>
      <c r="O126" s="349"/>
      <c r="P126" s="349"/>
      <c r="Q126" s="349"/>
      <c r="R126" s="349"/>
      <c r="S126" s="349"/>
      <c r="T126" s="349"/>
      <c r="U126" s="349"/>
      <c r="V126" s="502"/>
      <c r="W126" s="386"/>
      <c r="X126" s="503"/>
      <c r="Y126" s="503"/>
      <c r="Z126" s="503"/>
      <c r="AA126" s="503"/>
      <c r="AB126" s="503"/>
      <c r="AC126" s="504"/>
      <c r="AD126" s="504"/>
      <c r="AE126" s="504"/>
      <c r="AF126" s="504"/>
      <c r="AG126" s="505"/>
      <c r="AH126" s="505"/>
    </row>
    <row r="127" spans="2:34" ht="15" x14ac:dyDescent="0.25">
      <c r="B127" s="506" t="s">
        <v>232</v>
      </c>
      <c r="C127" s="501"/>
      <c r="D127" s="501"/>
      <c r="E127" s="501"/>
      <c r="F127" s="501"/>
      <c r="G127" s="501"/>
      <c r="H127" s="501"/>
      <c r="I127" s="501"/>
      <c r="J127" s="501"/>
      <c r="K127" s="501"/>
      <c r="L127" s="349"/>
      <c r="M127" s="349"/>
      <c r="N127" s="349"/>
      <c r="O127" s="349"/>
      <c r="P127" s="349"/>
      <c r="Q127" s="349"/>
      <c r="R127" s="349"/>
      <c r="S127" s="349"/>
      <c r="T127" s="349"/>
      <c r="U127" s="349"/>
      <c r="V127" s="502"/>
      <c r="W127" s="386"/>
      <c r="X127" s="503"/>
      <c r="Y127" s="503"/>
      <c r="Z127" s="503"/>
      <c r="AA127" s="503"/>
      <c r="AB127" s="503"/>
      <c r="AC127" s="504"/>
      <c r="AD127" s="504"/>
      <c r="AE127" s="504"/>
      <c r="AF127" s="504"/>
      <c r="AG127" s="505"/>
      <c r="AH127" s="505"/>
    </row>
    <row r="128" spans="2:34" ht="15" x14ac:dyDescent="0.25">
      <c r="B128" s="506" t="s">
        <v>233</v>
      </c>
      <c r="C128" s="501"/>
      <c r="D128" s="501"/>
      <c r="E128" s="501"/>
      <c r="F128" s="501"/>
      <c r="G128" s="501"/>
      <c r="H128" s="501"/>
      <c r="I128" s="501"/>
      <c r="J128" s="501"/>
      <c r="K128" s="501"/>
      <c r="L128" s="349"/>
      <c r="M128" s="349"/>
      <c r="N128" s="349"/>
      <c r="O128" s="349"/>
      <c r="P128" s="349"/>
      <c r="Q128" s="349"/>
      <c r="R128" s="349"/>
      <c r="S128" s="349"/>
      <c r="T128" s="349"/>
      <c r="U128" s="349"/>
      <c r="V128" s="502"/>
      <c r="W128" s="386"/>
      <c r="X128" s="503"/>
      <c r="Y128" s="503"/>
      <c r="Z128" s="503"/>
      <c r="AA128" s="503"/>
      <c r="AB128" s="503"/>
      <c r="AC128" s="504"/>
      <c r="AD128" s="504"/>
      <c r="AE128" s="504"/>
      <c r="AF128" s="504"/>
      <c r="AG128" s="505"/>
      <c r="AH128" s="505"/>
    </row>
    <row r="129" spans="2:34" ht="15" x14ac:dyDescent="0.25">
      <c r="B129" s="506" t="s">
        <v>234</v>
      </c>
      <c r="C129" s="501"/>
      <c r="D129" s="501"/>
      <c r="E129" s="501"/>
      <c r="F129" s="501"/>
      <c r="G129" s="501"/>
      <c r="H129" s="501"/>
      <c r="I129" s="501"/>
      <c r="J129" s="501"/>
      <c r="K129" s="501"/>
      <c r="L129" s="349"/>
      <c r="M129" s="349"/>
      <c r="N129" s="349"/>
      <c r="O129" s="349"/>
      <c r="P129" s="349"/>
      <c r="Q129" s="349"/>
      <c r="R129" s="349"/>
      <c r="S129" s="349"/>
      <c r="T129" s="349"/>
      <c r="U129" s="349"/>
      <c r="V129" s="502"/>
      <c r="W129" s="386"/>
      <c r="X129" s="503"/>
      <c r="Y129" s="503"/>
      <c r="Z129" s="503"/>
      <c r="AA129" s="503"/>
      <c r="AB129" s="503"/>
      <c r="AC129" s="504"/>
      <c r="AD129" s="504"/>
      <c r="AE129" s="504"/>
      <c r="AF129" s="504"/>
      <c r="AG129" s="505"/>
      <c r="AH129" s="505"/>
    </row>
    <row r="130" spans="2:34" ht="15" x14ac:dyDescent="0.25">
      <c r="B130" s="506" t="s">
        <v>235</v>
      </c>
      <c r="C130" s="501"/>
      <c r="D130" s="501"/>
      <c r="E130" s="501"/>
      <c r="F130" s="501"/>
      <c r="G130" s="501"/>
      <c r="H130" s="501"/>
      <c r="I130" s="501"/>
      <c r="J130" s="501"/>
      <c r="K130" s="501"/>
      <c r="L130" s="349"/>
      <c r="M130" s="349"/>
      <c r="N130" s="349"/>
      <c r="O130" s="349"/>
      <c r="P130" s="349"/>
      <c r="Q130" s="349"/>
      <c r="R130" s="349"/>
      <c r="S130" s="349"/>
      <c r="T130" s="349"/>
      <c r="U130" s="349"/>
      <c r="V130" s="502"/>
      <c r="W130" s="386"/>
      <c r="X130" s="503"/>
      <c r="Y130" s="503"/>
      <c r="Z130" s="503"/>
      <c r="AA130" s="503"/>
      <c r="AB130" s="503"/>
      <c r="AC130" s="504"/>
      <c r="AD130" s="504"/>
      <c r="AE130" s="504"/>
      <c r="AF130" s="504"/>
      <c r="AG130" s="505"/>
      <c r="AH130" s="505"/>
    </row>
    <row r="131" spans="2:34" ht="15" x14ac:dyDescent="0.25">
      <c r="B131" s="506" t="s">
        <v>236</v>
      </c>
      <c r="C131" s="501"/>
      <c r="D131" s="501"/>
      <c r="E131" s="501"/>
      <c r="F131" s="501"/>
      <c r="G131" s="501"/>
      <c r="H131" s="501"/>
      <c r="I131" s="501"/>
      <c r="J131" s="501"/>
      <c r="K131" s="501"/>
      <c r="L131" s="349"/>
      <c r="M131" s="349"/>
      <c r="N131" s="349"/>
      <c r="O131" s="349"/>
      <c r="P131" s="349"/>
      <c r="Q131" s="349"/>
      <c r="R131" s="349"/>
      <c r="S131" s="349"/>
      <c r="T131" s="349"/>
      <c r="U131" s="349"/>
      <c r="V131" s="502"/>
      <c r="W131" s="386"/>
      <c r="X131" s="503"/>
      <c r="Y131" s="503"/>
      <c r="Z131" s="503"/>
      <c r="AA131" s="503"/>
      <c r="AB131" s="503"/>
      <c r="AC131" s="504"/>
      <c r="AD131" s="504"/>
      <c r="AE131" s="504"/>
      <c r="AF131" s="504"/>
      <c r="AG131" s="505"/>
      <c r="AH131" s="505"/>
    </row>
    <row r="132" spans="2:34" ht="15" x14ac:dyDescent="0.25">
      <c r="B132" s="506" t="s">
        <v>237</v>
      </c>
      <c r="C132" s="501"/>
      <c r="D132" s="501"/>
      <c r="E132" s="501"/>
      <c r="F132" s="501"/>
      <c r="G132" s="501"/>
      <c r="H132" s="501"/>
      <c r="I132" s="501"/>
      <c r="J132" s="501"/>
      <c r="K132" s="501"/>
      <c r="L132" s="349"/>
      <c r="M132" s="349"/>
      <c r="N132" s="349"/>
      <c r="O132" s="349"/>
      <c r="P132" s="349"/>
      <c r="Q132" s="349"/>
      <c r="R132" s="349"/>
      <c r="S132" s="349"/>
      <c r="T132" s="349"/>
      <c r="U132" s="349"/>
      <c r="V132" s="502"/>
      <c r="W132" s="386"/>
      <c r="X132" s="503"/>
      <c r="Y132" s="503"/>
      <c r="Z132" s="503"/>
      <c r="AA132" s="503"/>
      <c r="AB132" s="503"/>
      <c r="AC132" s="504"/>
      <c r="AD132" s="504"/>
      <c r="AE132" s="504"/>
      <c r="AF132" s="504"/>
      <c r="AG132" s="505"/>
      <c r="AH132" s="505"/>
    </row>
    <row r="133" spans="2:34" ht="15" x14ac:dyDescent="0.25">
      <c r="B133" s="506" t="s">
        <v>238</v>
      </c>
      <c r="C133" s="501"/>
      <c r="D133" s="501"/>
      <c r="E133" s="501"/>
      <c r="F133" s="501"/>
      <c r="G133" s="501"/>
      <c r="H133" s="501"/>
      <c r="I133" s="501"/>
      <c r="J133" s="501"/>
      <c r="K133" s="501"/>
      <c r="L133" s="349"/>
      <c r="M133" s="349"/>
      <c r="N133" s="349"/>
      <c r="O133" s="349"/>
      <c r="P133" s="349"/>
      <c r="Q133" s="349"/>
      <c r="R133" s="349"/>
      <c r="S133" s="349"/>
      <c r="T133" s="349"/>
      <c r="U133" s="349"/>
      <c r="V133" s="502"/>
      <c r="W133" s="386"/>
      <c r="X133" s="503"/>
      <c r="Y133" s="503"/>
      <c r="Z133" s="503"/>
      <c r="AA133" s="503"/>
      <c r="AB133" s="503"/>
      <c r="AC133" s="504"/>
      <c r="AD133" s="504"/>
      <c r="AE133" s="504"/>
      <c r="AF133" s="504"/>
      <c r="AG133" s="505"/>
      <c r="AH133" s="505"/>
    </row>
    <row r="134" spans="2:34" ht="15" x14ac:dyDescent="0.25">
      <c r="B134" s="506" t="s">
        <v>239</v>
      </c>
      <c r="C134" s="501"/>
      <c r="D134" s="501"/>
      <c r="E134" s="501"/>
      <c r="F134" s="501"/>
      <c r="G134" s="501"/>
      <c r="H134" s="501"/>
      <c r="I134" s="501"/>
      <c r="J134" s="501"/>
      <c r="K134" s="501"/>
      <c r="L134" s="349"/>
      <c r="M134" s="349"/>
      <c r="N134" s="349"/>
      <c r="O134" s="349"/>
      <c r="P134" s="349"/>
      <c r="Q134" s="349"/>
      <c r="R134" s="349"/>
      <c r="S134" s="349"/>
      <c r="T134" s="349"/>
      <c r="U134" s="349"/>
      <c r="V134" s="502"/>
      <c r="W134" s="386"/>
      <c r="X134" s="503"/>
      <c r="Y134" s="503"/>
      <c r="Z134" s="503"/>
      <c r="AA134" s="503"/>
      <c r="AB134" s="503"/>
      <c r="AC134" s="504"/>
      <c r="AD134" s="504"/>
      <c r="AE134" s="504"/>
      <c r="AF134" s="504"/>
      <c r="AG134" s="505"/>
      <c r="AH134" s="505"/>
    </row>
    <row r="135" spans="2:34" ht="15" x14ac:dyDescent="0.25">
      <c r="B135" s="506" t="s">
        <v>240</v>
      </c>
      <c r="C135" s="501"/>
      <c r="D135" s="501"/>
      <c r="E135" s="501"/>
      <c r="F135" s="501"/>
      <c r="G135" s="501"/>
      <c r="H135" s="501"/>
      <c r="I135" s="501"/>
      <c r="J135" s="501"/>
      <c r="K135" s="501"/>
      <c r="L135" s="349"/>
      <c r="M135" s="349"/>
      <c r="N135" s="349"/>
      <c r="O135" s="349"/>
      <c r="P135" s="349"/>
      <c r="Q135" s="349"/>
      <c r="R135" s="349"/>
      <c r="S135" s="349"/>
      <c r="T135" s="349"/>
      <c r="U135" s="349"/>
      <c r="V135" s="502"/>
      <c r="W135" s="386"/>
      <c r="X135" s="503"/>
      <c r="Y135" s="503"/>
      <c r="Z135" s="503"/>
      <c r="AA135" s="503"/>
      <c r="AB135" s="503"/>
      <c r="AC135" s="504"/>
      <c r="AD135" s="504"/>
      <c r="AE135" s="504"/>
      <c r="AF135" s="504"/>
      <c r="AG135" s="505"/>
      <c r="AH135" s="505"/>
    </row>
    <row r="136" spans="2:34" ht="15" x14ac:dyDescent="0.25">
      <c r="B136" s="506" t="s">
        <v>241</v>
      </c>
      <c r="C136" s="501"/>
      <c r="D136" s="501"/>
      <c r="E136" s="501"/>
      <c r="F136" s="501"/>
      <c r="G136" s="501"/>
      <c r="H136" s="501"/>
      <c r="I136" s="501"/>
      <c r="J136" s="501"/>
      <c r="K136" s="501"/>
      <c r="L136" s="349"/>
      <c r="M136" s="349"/>
      <c r="N136" s="349"/>
      <c r="O136" s="349"/>
      <c r="P136" s="349"/>
      <c r="Q136" s="349"/>
      <c r="R136" s="349"/>
      <c r="S136" s="349"/>
      <c r="T136" s="349"/>
      <c r="U136" s="349"/>
      <c r="V136" s="502"/>
      <c r="W136" s="386"/>
      <c r="X136" s="503"/>
      <c r="Y136" s="503"/>
      <c r="Z136" s="503"/>
      <c r="AA136" s="503"/>
      <c r="AB136" s="503"/>
      <c r="AC136" s="504"/>
      <c r="AD136" s="504"/>
      <c r="AE136" s="504"/>
      <c r="AF136" s="504"/>
      <c r="AG136" s="505"/>
      <c r="AH136" s="505"/>
    </row>
    <row r="137" spans="2:34" ht="15" x14ac:dyDescent="0.25">
      <c r="B137" s="506" t="s">
        <v>242</v>
      </c>
      <c r="C137" s="501"/>
      <c r="D137" s="501"/>
      <c r="E137" s="501"/>
      <c r="F137" s="501"/>
      <c r="G137" s="501"/>
      <c r="H137" s="501"/>
      <c r="I137" s="501"/>
      <c r="J137" s="501"/>
      <c r="K137" s="501"/>
      <c r="L137" s="349"/>
      <c r="M137" s="349"/>
      <c r="N137" s="349"/>
      <c r="O137" s="349"/>
      <c r="P137" s="349"/>
      <c r="Q137" s="349"/>
      <c r="R137" s="349"/>
      <c r="S137" s="349"/>
      <c r="T137" s="349"/>
      <c r="U137" s="349"/>
      <c r="V137" s="502"/>
      <c r="W137" s="386"/>
      <c r="X137" s="503"/>
      <c r="Y137" s="503"/>
      <c r="Z137" s="503"/>
      <c r="AA137" s="503"/>
      <c r="AB137" s="503"/>
      <c r="AC137" s="504"/>
      <c r="AD137" s="504"/>
      <c r="AE137" s="504"/>
      <c r="AF137" s="504"/>
      <c r="AG137" s="505"/>
      <c r="AH137" s="505"/>
    </row>
    <row r="138" spans="2:34" ht="15" x14ac:dyDescent="0.25">
      <c r="B138" s="506" t="s">
        <v>243</v>
      </c>
      <c r="C138" s="501"/>
      <c r="D138" s="501"/>
      <c r="E138" s="501"/>
      <c r="F138" s="501"/>
      <c r="G138" s="501"/>
      <c r="H138" s="501"/>
      <c r="I138" s="501"/>
      <c r="J138" s="501"/>
      <c r="K138" s="501"/>
      <c r="L138" s="349"/>
      <c r="M138" s="349"/>
      <c r="N138" s="349"/>
      <c r="O138" s="349"/>
      <c r="P138" s="349"/>
      <c r="Q138" s="349"/>
      <c r="R138" s="349"/>
      <c r="S138" s="349"/>
      <c r="T138" s="349"/>
      <c r="U138" s="349"/>
      <c r="V138" s="502"/>
      <c r="W138" s="386"/>
      <c r="X138" s="503"/>
      <c r="Y138" s="503"/>
      <c r="Z138" s="503"/>
      <c r="AA138" s="503"/>
      <c r="AB138" s="503"/>
      <c r="AC138" s="504"/>
      <c r="AD138" s="504"/>
      <c r="AE138" s="504"/>
      <c r="AF138" s="504"/>
      <c r="AG138" s="505"/>
      <c r="AH138" s="505"/>
    </row>
    <row r="139" spans="2:34" ht="15" x14ac:dyDescent="0.25">
      <c r="B139" s="506" t="s">
        <v>244</v>
      </c>
      <c r="C139" s="501"/>
      <c r="D139" s="501"/>
      <c r="E139" s="501"/>
      <c r="F139" s="501"/>
      <c r="G139" s="501"/>
      <c r="H139" s="501"/>
      <c r="I139" s="501"/>
      <c r="J139" s="501"/>
      <c r="K139" s="501"/>
      <c r="L139" s="349"/>
      <c r="M139" s="349"/>
      <c r="N139" s="349"/>
      <c r="O139" s="349"/>
      <c r="P139" s="349"/>
      <c r="Q139" s="349"/>
      <c r="R139" s="349"/>
      <c r="S139" s="349"/>
      <c r="T139" s="349"/>
      <c r="U139" s="349"/>
      <c r="V139" s="502"/>
      <c r="W139" s="386"/>
      <c r="X139" s="503"/>
      <c r="Y139" s="503"/>
      <c r="Z139" s="503"/>
      <c r="AA139" s="503"/>
      <c r="AB139" s="503"/>
      <c r="AC139" s="504"/>
      <c r="AD139" s="504"/>
      <c r="AE139" s="504"/>
      <c r="AF139" s="504"/>
      <c r="AG139" s="505"/>
      <c r="AH139" s="505"/>
    </row>
    <row r="140" spans="2:34" ht="15" x14ac:dyDescent="0.25">
      <c r="B140" s="506" t="s">
        <v>245</v>
      </c>
      <c r="C140" s="501"/>
      <c r="D140" s="501"/>
      <c r="E140" s="501"/>
      <c r="F140" s="501"/>
      <c r="G140" s="501"/>
      <c r="H140" s="501"/>
      <c r="I140" s="501"/>
      <c r="J140" s="501"/>
      <c r="K140" s="501"/>
      <c r="L140" s="349"/>
      <c r="M140" s="349"/>
      <c r="N140" s="349"/>
      <c r="O140" s="349"/>
      <c r="P140" s="349"/>
      <c r="Q140" s="349"/>
      <c r="R140" s="349"/>
      <c r="S140" s="349"/>
      <c r="T140" s="349"/>
      <c r="U140" s="349"/>
      <c r="V140" s="502"/>
      <c r="W140" s="386"/>
      <c r="X140" s="503"/>
      <c r="Y140" s="503"/>
      <c r="Z140" s="503"/>
      <c r="AA140" s="503"/>
      <c r="AB140" s="503"/>
      <c r="AC140" s="504"/>
      <c r="AD140" s="504"/>
      <c r="AE140" s="504"/>
      <c r="AF140" s="504"/>
      <c r="AG140" s="505"/>
      <c r="AH140" s="505"/>
    </row>
    <row r="141" spans="2:34" ht="15" x14ac:dyDescent="0.25">
      <c r="B141" s="506" t="s">
        <v>246</v>
      </c>
      <c r="C141" s="501"/>
      <c r="D141" s="501"/>
      <c r="E141" s="501"/>
      <c r="F141" s="501"/>
      <c r="G141" s="501"/>
      <c r="H141" s="501"/>
      <c r="I141" s="501"/>
      <c r="J141" s="501"/>
      <c r="K141" s="501"/>
      <c r="L141" s="349"/>
      <c r="M141" s="349"/>
      <c r="N141" s="349"/>
      <c r="O141" s="349"/>
      <c r="P141" s="349"/>
      <c r="Q141" s="349"/>
      <c r="R141" s="349"/>
      <c r="S141" s="349"/>
      <c r="T141" s="349"/>
      <c r="U141" s="349"/>
      <c r="V141" s="502"/>
      <c r="W141" s="386"/>
      <c r="X141" s="503"/>
      <c r="Y141" s="503"/>
      <c r="Z141" s="503"/>
      <c r="AA141" s="503"/>
      <c r="AB141" s="503"/>
      <c r="AC141" s="504"/>
      <c r="AD141" s="504"/>
      <c r="AE141" s="504"/>
      <c r="AF141" s="504"/>
      <c r="AG141" s="505"/>
      <c r="AH141" s="505"/>
    </row>
    <row r="142" spans="2:34" ht="15" x14ac:dyDescent="0.25">
      <c r="B142" s="506" t="s">
        <v>247</v>
      </c>
      <c r="C142" s="501"/>
      <c r="D142" s="501"/>
      <c r="E142" s="501"/>
      <c r="F142" s="501"/>
      <c r="G142" s="501"/>
      <c r="H142" s="501"/>
      <c r="I142" s="501"/>
      <c r="J142" s="501"/>
      <c r="K142" s="501"/>
      <c r="L142" s="349"/>
      <c r="M142" s="349"/>
      <c r="N142" s="349"/>
      <c r="O142" s="349"/>
      <c r="P142" s="349"/>
      <c r="Q142" s="349"/>
      <c r="R142" s="349"/>
      <c r="S142" s="349"/>
      <c r="T142" s="349"/>
      <c r="U142" s="349"/>
      <c r="V142" s="502"/>
      <c r="W142" s="386"/>
      <c r="X142" s="503"/>
      <c r="Y142" s="503"/>
      <c r="Z142" s="503"/>
      <c r="AA142" s="503"/>
      <c r="AB142" s="503"/>
      <c r="AC142" s="504"/>
      <c r="AD142" s="504"/>
      <c r="AE142" s="504"/>
      <c r="AF142" s="504"/>
      <c r="AG142" s="505"/>
      <c r="AH142" s="505"/>
    </row>
    <row r="143" spans="2:34" ht="15" x14ac:dyDescent="0.25">
      <c r="B143" s="506" t="s">
        <v>248</v>
      </c>
      <c r="C143" s="501"/>
      <c r="D143" s="501"/>
      <c r="E143" s="501"/>
      <c r="F143" s="501"/>
      <c r="G143" s="501"/>
      <c r="H143" s="501"/>
      <c r="I143" s="501"/>
      <c r="J143" s="501"/>
      <c r="K143" s="501"/>
      <c r="L143" s="349"/>
      <c r="M143" s="349"/>
      <c r="N143" s="349"/>
      <c r="O143" s="349"/>
      <c r="P143" s="349"/>
      <c r="Q143" s="349"/>
      <c r="R143" s="349"/>
      <c r="S143" s="349"/>
      <c r="T143" s="349"/>
      <c r="U143" s="349"/>
      <c r="V143" s="502"/>
      <c r="W143" s="386"/>
      <c r="X143" s="503"/>
      <c r="Y143" s="503"/>
      <c r="Z143" s="503"/>
      <c r="AA143" s="503"/>
      <c r="AB143" s="503"/>
      <c r="AC143" s="504"/>
      <c r="AD143" s="504"/>
      <c r="AE143" s="504"/>
      <c r="AF143" s="504"/>
      <c r="AG143" s="505"/>
      <c r="AH143" s="505"/>
    </row>
    <row r="144" spans="2:34" ht="15" x14ac:dyDescent="0.25">
      <c r="B144" s="506" t="s">
        <v>249</v>
      </c>
      <c r="C144" s="501"/>
      <c r="D144" s="501"/>
      <c r="E144" s="501"/>
      <c r="F144" s="501"/>
      <c r="G144" s="501"/>
      <c r="H144" s="501"/>
      <c r="I144" s="501"/>
      <c r="J144" s="501"/>
      <c r="K144" s="501"/>
      <c r="L144" s="349"/>
      <c r="M144" s="349"/>
      <c r="N144" s="349"/>
      <c r="O144" s="349"/>
      <c r="P144" s="349"/>
      <c r="Q144" s="349"/>
      <c r="R144" s="349"/>
      <c r="S144" s="349"/>
      <c r="T144" s="349"/>
      <c r="U144" s="349"/>
      <c r="V144" s="502"/>
      <c r="W144" s="386"/>
      <c r="X144" s="503"/>
      <c r="Y144" s="503"/>
      <c r="Z144" s="503"/>
      <c r="AA144" s="503"/>
      <c r="AB144" s="503"/>
      <c r="AC144" s="504"/>
      <c r="AD144" s="504"/>
      <c r="AE144" s="504"/>
      <c r="AF144" s="504"/>
      <c r="AG144" s="505"/>
      <c r="AH144" s="505"/>
    </row>
    <row r="145" spans="2:34" ht="15" x14ac:dyDescent="0.25">
      <c r="B145" s="506" t="s">
        <v>250</v>
      </c>
      <c r="C145" s="501"/>
      <c r="D145" s="501"/>
      <c r="E145" s="501"/>
      <c r="F145" s="501"/>
      <c r="G145" s="501"/>
      <c r="H145" s="501"/>
      <c r="I145" s="501"/>
      <c r="J145" s="501"/>
      <c r="K145" s="501"/>
      <c r="L145" s="349"/>
      <c r="M145" s="349"/>
      <c r="N145" s="349"/>
      <c r="O145" s="349"/>
      <c r="P145" s="349"/>
      <c r="Q145" s="349"/>
      <c r="R145" s="349"/>
      <c r="S145" s="349"/>
      <c r="T145" s="349"/>
      <c r="U145" s="349"/>
      <c r="V145" s="502"/>
      <c r="W145" s="386"/>
      <c r="X145" s="503"/>
      <c r="Y145" s="503"/>
      <c r="Z145" s="503"/>
      <c r="AA145" s="503"/>
      <c r="AB145" s="503"/>
      <c r="AC145" s="504"/>
      <c r="AD145" s="504"/>
      <c r="AE145" s="504"/>
      <c r="AF145" s="504"/>
      <c r="AG145" s="505"/>
      <c r="AH145" s="505"/>
    </row>
    <row r="146" spans="2:34" ht="15" x14ac:dyDescent="0.25">
      <c r="B146" s="506" t="s">
        <v>251</v>
      </c>
      <c r="C146" s="501"/>
      <c r="D146" s="501"/>
      <c r="E146" s="501"/>
      <c r="F146" s="501"/>
      <c r="G146" s="501"/>
      <c r="H146" s="501"/>
      <c r="I146" s="501"/>
      <c r="J146" s="501"/>
      <c r="K146" s="501"/>
      <c r="L146" s="349"/>
      <c r="M146" s="349"/>
      <c r="N146" s="349"/>
      <c r="O146" s="349"/>
      <c r="P146" s="349"/>
      <c r="Q146" s="349"/>
      <c r="R146" s="349"/>
      <c r="S146" s="349"/>
      <c r="T146" s="349"/>
      <c r="U146" s="349"/>
      <c r="V146" s="502"/>
      <c r="W146" s="386"/>
      <c r="X146" s="503"/>
      <c r="Y146" s="503"/>
      <c r="Z146" s="503"/>
      <c r="AA146" s="503"/>
      <c r="AB146" s="503"/>
      <c r="AC146" s="504"/>
      <c r="AD146" s="504"/>
      <c r="AE146" s="504"/>
      <c r="AF146" s="504"/>
      <c r="AG146" s="505"/>
      <c r="AH146" s="505"/>
    </row>
    <row r="147" spans="2:34" ht="15" x14ac:dyDescent="0.25">
      <c r="B147" s="506" t="s">
        <v>252</v>
      </c>
      <c r="C147" s="501"/>
      <c r="D147" s="501"/>
      <c r="E147" s="501"/>
      <c r="F147" s="501"/>
      <c r="G147" s="501"/>
      <c r="H147" s="501"/>
      <c r="I147" s="501"/>
      <c r="J147" s="501"/>
      <c r="K147" s="501"/>
      <c r="L147" s="349"/>
      <c r="M147" s="349"/>
      <c r="N147" s="349"/>
      <c r="O147" s="349"/>
      <c r="P147" s="349"/>
      <c r="Q147" s="349"/>
      <c r="R147" s="349"/>
      <c r="S147" s="349"/>
      <c r="T147" s="349"/>
      <c r="U147" s="349"/>
      <c r="V147" s="502"/>
      <c r="W147" s="386"/>
      <c r="X147" s="503"/>
      <c r="Y147" s="503"/>
      <c r="Z147" s="503"/>
      <c r="AA147" s="503"/>
      <c r="AB147" s="503"/>
      <c r="AC147" s="504"/>
      <c r="AD147" s="504"/>
      <c r="AE147" s="504"/>
      <c r="AF147" s="504"/>
      <c r="AG147" s="505"/>
      <c r="AH147" s="505"/>
    </row>
    <row r="148" spans="2:34" ht="15" x14ac:dyDescent="0.25">
      <c r="B148" s="506" t="s">
        <v>253</v>
      </c>
      <c r="C148" s="501"/>
      <c r="D148" s="501"/>
      <c r="E148" s="501"/>
      <c r="F148" s="501"/>
      <c r="G148" s="501"/>
      <c r="H148" s="501"/>
      <c r="I148" s="501"/>
      <c r="J148" s="501"/>
      <c r="K148" s="501"/>
      <c r="L148" s="349"/>
      <c r="M148" s="349"/>
      <c r="N148" s="349"/>
      <c r="O148" s="349"/>
      <c r="P148" s="349"/>
      <c r="Q148" s="349"/>
      <c r="R148" s="349"/>
      <c r="S148" s="349"/>
      <c r="T148" s="349"/>
      <c r="U148" s="349"/>
      <c r="V148" s="502"/>
      <c r="W148" s="386"/>
      <c r="X148" s="503"/>
      <c r="Y148" s="503"/>
      <c r="Z148" s="503"/>
      <c r="AA148" s="503"/>
      <c r="AB148" s="503"/>
      <c r="AC148" s="504"/>
      <c r="AD148" s="504"/>
      <c r="AE148" s="504"/>
      <c r="AF148" s="504"/>
      <c r="AG148" s="505"/>
      <c r="AH148" s="505"/>
    </row>
    <row r="149" spans="2:34" ht="15" x14ac:dyDescent="0.25">
      <c r="B149" s="506" t="s">
        <v>254</v>
      </c>
      <c r="C149" s="501"/>
      <c r="D149" s="501"/>
      <c r="E149" s="501"/>
      <c r="F149" s="501"/>
      <c r="G149" s="501"/>
      <c r="H149" s="501"/>
      <c r="I149" s="501"/>
      <c r="J149" s="501"/>
      <c r="K149" s="501"/>
      <c r="L149" s="349"/>
      <c r="M149" s="349"/>
      <c r="N149" s="349"/>
      <c r="O149" s="349"/>
      <c r="P149" s="349"/>
      <c r="Q149" s="349"/>
      <c r="R149" s="349"/>
      <c r="S149" s="349"/>
      <c r="T149" s="349"/>
      <c r="U149" s="349"/>
      <c r="V149" s="502"/>
      <c r="W149" s="386"/>
      <c r="X149" s="503"/>
      <c r="Y149" s="503"/>
      <c r="Z149" s="503"/>
      <c r="AA149" s="503"/>
      <c r="AB149" s="503"/>
      <c r="AC149" s="504"/>
      <c r="AD149" s="504"/>
      <c r="AE149" s="504"/>
      <c r="AF149" s="504"/>
      <c r="AG149" s="505"/>
      <c r="AH149" s="505"/>
    </row>
    <row r="150" spans="2:34" ht="15" x14ac:dyDescent="0.25">
      <c r="B150" s="506" t="s">
        <v>255</v>
      </c>
      <c r="C150" s="501"/>
      <c r="D150" s="501"/>
      <c r="E150" s="501"/>
      <c r="F150" s="501"/>
      <c r="G150" s="501"/>
      <c r="H150" s="501"/>
      <c r="I150" s="501"/>
      <c r="J150" s="501"/>
      <c r="K150" s="501"/>
      <c r="L150" s="349"/>
      <c r="M150" s="349"/>
      <c r="N150" s="349"/>
      <c r="O150" s="349"/>
      <c r="P150" s="349"/>
      <c r="Q150" s="349"/>
      <c r="R150" s="349"/>
      <c r="S150" s="349"/>
      <c r="T150" s="349"/>
      <c r="U150" s="349"/>
      <c r="V150" s="502"/>
      <c r="W150" s="386"/>
      <c r="X150" s="503"/>
      <c r="Y150" s="503"/>
      <c r="Z150" s="503"/>
      <c r="AA150" s="503"/>
      <c r="AB150" s="503"/>
      <c r="AC150" s="504"/>
      <c r="AD150" s="504"/>
      <c r="AE150" s="504"/>
      <c r="AF150" s="504"/>
      <c r="AG150" s="505"/>
      <c r="AH150" s="505"/>
    </row>
    <row r="151" spans="2:34" ht="15" x14ac:dyDescent="0.25">
      <c r="B151" s="506" t="s">
        <v>256</v>
      </c>
      <c r="C151" s="501"/>
      <c r="D151" s="501"/>
      <c r="E151" s="501"/>
      <c r="F151" s="501"/>
      <c r="G151" s="501"/>
      <c r="H151" s="501"/>
      <c r="I151" s="501"/>
      <c r="J151" s="501"/>
      <c r="K151" s="501"/>
      <c r="L151" s="349"/>
      <c r="M151" s="349"/>
      <c r="N151" s="349"/>
      <c r="O151" s="349"/>
      <c r="P151" s="349"/>
      <c r="Q151" s="349"/>
      <c r="R151" s="349"/>
      <c r="S151" s="349"/>
      <c r="T151" s="349"/>
      <c r="U151" s="349"/>
      <c r="V151" s="502"/>
      <c r="W151" s="386"/>
      <c r="X151" s="503"/>
      <c r="Y151" s="503"/>
      <c r="Z151" s="503"/>
      <c r="AA151" s="503"/>
      <c r="AB151" s="503"/>
      <c r="AC151" s="504"/>
      <c r="AD151" s="504"/>
      <c r="AE151" s="504"/>
      <c r="AF151" s="504"/>
      <c r="AG151" s="505"/>
      <c r="AH151" s="505"/>
    </row>
    <row r="152" spans="2:34" ht="15" x14ac:dyDescent="0.25">
      <c r="B152" s="506" t="s">
        <v>257</v>
      </c>
      <c r="C152" s="501"/>
      <c r="D152" s="501"/>
      <c r="E152" s="501"/>
      <c r="F152" s="501"/>
      <c r="G152" s="501"/>
      <c r="H152" s="501"/>
      <c r="I152" s="501"/>
      <c r="J152" s="501"/>
      <c r="K152" s="501"/>
      <c r="L152" s="349"/>
      <c r="M152" s="349"/>
      <c r="N152" s="349"/>
      <c r="O152" s="349"/>
      <c r="P152" s="349"/>
      <c r="Q152" s="349"/>
      <c r="R152" s="349"/>
      <c r="S152" s="349"/>
      <c r="T152" s="349"/>
      <c r="U152" s="349"/>
      <c r="V152" s="502"/>
      <c r="W152" s="386"/>
      <c r="X152" s="503"/>
      <c r="Y152" s="503"/>
      <c r="Z152" s="503"/>
      <c r="AA152" s="503"/>
      <c r="AB152" s="503"/>
      <c r="AC152" s="504"/>
      <c r="AD152" s="504"/>
      <c r="AE152" s="504"/>
      <c r="AF152" s="504"/>
      <c r="AG152" s="505"/>
      <c r="AH152" s="505"/>
    </row>
    <row r="153" spans="2:34" ht="15" x14ac:dyDescent="0.25">
      <c r="B153" s="506" t="s">
        <v>258</v>
      </c>
      <c r="C153" s="501"/>
      <c r="D153" s="501"/>
      <c r="E153" s="501"/>
      <c r="F153" s="501"/>
      <c r="G153" s="501"/>
      <c r="H153" s="501"/>
      <c r="I153" s="501"/>
      <c r="J153" s="501"/>
      <c r="K153" s="501"/>
      <c r="L153" s="349"/>
      <c r="M153" s="349"/>
      <c r="N153" s="349"/>
      <c r="O153" s="349"/>
      <c r="P153" s="349"/>
      <c r="Q153" s="349"/>
      <c r="R153" s="349"/>
      <c r="S153" s="349"/>
      <c r="T153" s="349"/>
      <c r="U153" s="349"/>
      <c r="V153" s="502"/>
      <c r="W153" s="386"/>
      <c r="X153" s="503"/>
      <c r="Y153" s="503"/>
      <c r="Z153" s="503"/>
      <c r="AA153" s="503"/>
      <c r="AB153" s="503"/>
      <c r="AC153" s="504"/>
      <c r="AD153" s="504"/>
      <c r="AE153" s="504"/>
      <c r="AF153" s="504"/>
      <c r="AG153" s="505"/>
      <c r="AH153" s="505"/>
    </row>
    <row r="154" spans="2:34" ht="15" x14ac:dyDescent="0.25">
      <c r="B154" s="506" t="s">
        <v>259</v>
      </c>
      <c r="C154" s="501"/>
      <c r="D154" s="501"/>
      <c r="E154" s="501"/>
      <c r="F154" s="501"/>
      <c r="G154" s="501"/>
      <c r="H154" s="501"/>
      <c r="I154" s="501"/>
      <c r="J154" s="501"/>
      <c r="K154" s="501"/>
      <c r="L154" s="349"/>
      <c r="M154" s="349"/>
      <c r="N154" s="349"/>
      <c r="O154" s="349"/>
      <c r="P154" s="349"/>
      <c r="Q154" s="349"/>
      <c r="R154" s="349"/>
      <c r="S154" s="349"/>
      <c r="T154" s="349"/>
      <c r="U154" s="349"/>
      <c r="V154" s="502"/>
      <c r="W154" s="386"/>
      <c r="X154" s="503"/>
      <c r="Y154" s="503"/>
      <c r="Z154" s="503"/>
      <c r="AA154" s="503"/>
      <c r="AB154" s="503"/>
      <c r="AC154" s="504"/>
      <c r="AD154" s="504"/>
      <c r="AE154" s="504"/>
      <c r="AF154" s="504"/>
      <c r="AG154" s="505"/>
      <c r="AH154" s="505"/>
    </row>
    <row r="155" spans="2:34" ht="15" x14ac:dyDescent="0.25">
      <c r="B155" s="506" t="s">
        <v>260</v>
      </c>
      <c r="C155" s="501"/>
      <c r="D155" s="501"/>
      <c r="E155" s="501"/>
      <c r="F155" s="501"/>
      <c r="G155" s="501"/>
      <c r="H155" s="501"/>
      <c r="I155" s="501"/>
      <c r="J155" s="501"/>
      <c r="K155" s="501"/>
      <c r="L155" s="349"/>
      <c r="M155" s="349"/>
      <c r="N155" s="349"/>
      <c r="O155" s="349"/>
      <c r="P155" s="349"/>
      <c r="Q155" s="349"/>
      <c r="R155" s="349"/>
      <c r="S155" s="349"/>
      <c r="T155" s="349"/>
      <c r="U155" s="349"/>
      <c r="V155" s="502"/>
      <c r="W155" s="386"/>
      <c r="X155" s="503"/>
      <c r="Y155" s="503"/>
      <c r="Z155" s="503"/>
      <c r="AA155" s="503"/>
      <c r="AB155" s="503"/>
      <c r="AC155" s="504"/>
      <c r="AD155" s="504"/>
      <c r="AE155" s="504"/>
      <c r="AF155" s="504"/>
      <c r="AG155" s="505"/>
      <c r="AH155" s="505"/>
    </row>
    <row r="156" spans="2:34" ht="15" x14ac:dyDescent="0.25">
      <c r="B156" s="506" t="s">
        <v>261</v>
      </c>
      <c r="C156" s="501"/>
      <c r="D156" s="501"/>
      <c r="E156" s="501"/>
      <c r="F156" s="501"/>
      <c r="G156" s="501"/>
      <c r="H156" s="501"/>
      <c r="I156" s="501"/>
      <c r="J156" s="501"/>
      <c r="K156" s="501"/>
      <c r="L156" s="349"/>
      <c r="M156" s="349"/>
      <c r="N156" s="349"/>
      <c r="O156" s="349"/>
      <c r="P156" s="349"/>
      <c r="Q156" s="349"/>
      <c r="R156" s="349"/>
      <c r="S156" s="349"/>
      <c r="T156" s="349"/>
      <c r="U156" s="349"/>
      <c r="V156" s="502"/>
      <c r="W156" s="386"/>
      <c r="X156" s="503"/>
      <c r="Y156" s="503"/>
      <c r="Z156" s="503"/>
      <c r="AA156" s="503"/>
      <c r="AB156" s="503"/>
      <c r="AC156" s="504"/>
      <c r="AD156" s="504"/>
      <c r="AE156" s="504"/>
      <c r="AF156" s="504"/>
      <c r="AG156" s="505"/>
      <c r="AH156" s="505"/>
    </row>
    <row r="157" spans="2:34" ht="15" x14ac:dyDescent="0.25">
      <c r="B157" s="506" t="s">
        <v>262</v>
      </c>
      <c r="C157" s="501"/>
      <c r="D157" s="501"/>
      <c r="E157" s="501"/>
      <c r="F157" s="501"/>
      <c r="G157" s="501"/>
      <c r="H157" s="501"/>
      <c r="I157" s="501"/>
      <c r="J157" s="501"/>
      <c r="K157" s="501"/>
      <c r="L157" s="349"/>
      <c r="M157" s="349"/>
      <c r="N157" s="349"/>
      <c r="O157" s="349"/>
      <c r="P157" s="349"/>
      <c r="Q157" s="349"/>
      <c r="R157" s="349"/>
      <c r="S157" s="349"/>
      <c r="T157" s="349"/>
      <c r="U157" s="349"/>
      <c r="V157" s="502"/>
      <c r="W157" s="386"/>
      <c r="X157" s="503"/>
      <c r="Y157" s="503"/>
      <c r="Z157" s="503"/>
      <c r="AA157" s="503"/>
      <c r="AB157" s="503"/>
      <c r="AC157" s="504"/>
      <c r="AD157" s="504"/>
      <c r="AE157" s="504"/>
      <c r="AF157" s="504"/>
      <c r="AG157" s="505"/>
      <c r="AH157" s="505"/>
    </row>
    <row r="158" spans="2:34" ht="15" x14ac:dyDescent="0.25">
      <c r="B158" s="506" t="s">
        <v>263</v>
      </c>
      <c r="C158" s="501"/>
      <c r="D158" s="501"/>
      <c r="E158" s="501"/>
      <c r="F158" s="501"/>
      <c r="G158" s="501"/>
      <c r="H158" s="501"/>
      <c r="I158" s="501"/>
      <c r="J158" s="501"/>
      <c r="K158" s="501"/>
      <c r="L158" s="349"/>
      <c r="M158" s="349"/>
      <c r="N158" s="349"/>
      <c r="O158" s="349"/>
      <c r="P158" s="349"/>
      <c r="Q158" s="349"/>
      <c r="R158" s="349"/>
      <c r="S158" s="349"/>
      <c r="T158" s="349"/>
      <c r="U158" s="349"/>
      <c r="V158" s="502"/>
      <c r="W158" s="386"/>
      <c r="X158" s="503"/>
      <c r="Y158" s="503"/>
      <c r="Z158" s="503"/>
      <c r="AA158" s="503"/>
      <c r="AB158" s="503"/>
      <c r="AC158" s="504"/>
      <c r="AD158" s="504"/>
      <c r="AE158" s="504"/>
      <c r="AF158" s="504"/>
      <c r="AG158" s="505"/>
      <c r="AH158" s="505"/>
    </row>
    <row r="159" spans="2:34" ht="15" x14ac:dyDescent="0.25">
      <c r="B159" s="506" t="s">
        <v>264</v>
      </c>
      <c r="C159" s="501"/>
      <c r="D159" s="501"/>
      <c r="E159" s="501"/>
      <c r="F159" s="501"/>
      <c r="G159" s="501"/>
      <c r="H159" s="501"/>
      <c r="I159" s="501"/>
      <c r="J159" s="501"/>
      <c r="K159" s="501"/>
      <c r="L159" s="349"/>
      <c r="M159" s="349"/>
      <c r="N159" s="349"/>
      <c r="O159" s="349"/>
      <c r="P159" s="349"/>
      <c r="Q159" s="349"/>
      <c r="R159" s="349"/>
      <c r="S159" s="349"/>
      <c r="T159" s="349"/>
      <c r="U159" s="349"/>
      <c r="V159" s="502"/>
      <c r="W159" s="386"/>
      <c r="X159" s="503"/>
      <c r="Y159" s="503"/>
      <c r="Z159" s="503"/>
      <c r="AA159" s="503"/>
      <c r="AB159" s="503"/>
      <c r="AC159" s="504"/>
      <c r="AD159" s="504"/>
      <c r="AE159" s="504"/>
      <c r="AF159" s="504"/>
      <c r="AG159" s="505"/>
      <c r="AH159" s="505"/>
    </row>
    <row r="160" spans="2:34" ht="15" x14ac:dyDescent="0.25">
      <c r="B160" s="506" t="s">
        <v>265</v>
      </c>
      <c r="C160" s="501"/>
      <c r="D160" s="501"/>
      <c r="E160" s="501"/>
      <c r="F160" s="501"/>
      <c r="G160" s="501"/>
      <c r="H160" s="501"/>
      <c r="I160" s="501"/>
      <c r="J160" s="501"/>
      <c r="K160" s="501"/>
      <c r="L160" s="349"/>
      <c r="M160" s="349"/>
      <c r="N160" s="349"/>
      <c r="O160" s="349"/>
      <c r="P160" s="349"/>
      <c r="Q160" s="349"/>
      <c r="R160" s="349"/>
      <c r="S160" s="349"/>
      <c r="T160" s="349"/>
      <c r="U160" s="349"/>
      <c r="V160" s="502"/>
      <c r="W160" s="386"/>
      <c r="X160" s="503"/>
      <c r="Y160" s="503"/>
      <c r="Z160" s="503"/>
      <c r="AA160" s="503"/>
      <c r="AB160" s="503"/>
      <c r="AC160" s="504"/>
      <c r="AD160" s="504"/>
      <c r="AE160" s="504"/>
      <c r="AF160" s="504"/>
      <c r="AG160" s="505"/>
      <c r="AH160" s="505"/>
    </row>
    <row r="161" spans="2:34" ht="15" x14ac:dyDescent="0.25">
      <c r="B161" s="506" t="s">
        <v>266</v>
      </c>
      <c r="C161" s="501"/>
      <c r="D161" s="501"/>
      <c r="E161" s="501"/>
      <c r="F161" s="501"/>
      <c r="G161" s="501"/>
      <c r="H161" s="501"/>
      <c r="I161" s="501"/>
      <c r="J161" s="501"/>
      <c r="K161" s="501"/>
      <c r="L161" s="349"/>
      <c r="M161" s="349"/>
      <c r="N161" s="349"/>
      <c r="O161" s="349"/>
      <c r="P161" s="349"/>
      <c r="Q161" s="349"/>
      <c r="R161" s="349"/>
      <c r="S161" s="349"/>
      <c r="T161" s="349"/>
      <c r="U161" s="349"/>
      <c r="V161" s="502"/>
      <c r="W161" s="386"/>
      <c r="X161" s="503"/>
      <c r="Y161" s="503"/>
      <c r="Z161" s="503"/>
      <c r="AA161" s="503"/>
      <c r="AB161" s="503"/>
      <c r="AC161" s="504"/>
      <c r="AD161" s="504"/>
      <c r="AE161" s="504"/>
      <c r="AF161" s="504"/>
      <c r="AG161" s="505"/>
      <c r="AH161" s="505"/>
    </row>
    <row r="162" spans="2:34" ht="15" x14ac:dyDescent="0.25">
      <c r="B162" s="506" t="s">
        <v>267</v>
      </c>
      <c r="C162" s="501"/>
      <c r="D162" s="501"/>
      <c r="E162" s="501"/>
      <c r="F162" s="501"/>
      <c r="G162" s="501"/>
      <c r="H162" s="501"/>
      <c r="I162" s="501"/>
      <c r="J162" s="501"/>
      <c r="K162" s="501"/>
      <c r="L162" s="349"/>
      <c r="M162" s="349"/>
      <c r="N162" s="349"/>
      <c r="O162" s="349"/>
      <c r="P162" s="349"/>
      <c r="Q162" s="349"/>
      <c r="R162" s="349"/>
      <c r="S162" s="349"/>
      <c r="T162" s="349"/>
      <c r="U162" s="349"/>
      <c r="V162" s="502"/>
      <c r="W162" s="386"/>
      <c r="X162" s="503"/>
      <c r="Y162" s="503"/>
      <c r="Z162" s="503"/>
      <c r="AA162" s="503"/>
      <c r="AB162" s="503"/>
      <c r="AC162" s="504"/>
      <c r="AD162" s="504"/>
      <c r="AE162" s="504"/>
      <c r="AF162" s="504"/>
      <c r="AG162" s="505"/>
      <c r="AH162" s="505"/>
    </row>
    <row r="163" spans="2:34" ht="15" x14ac:dyDescent="0.25">
      <c r="B163" s="506" t="s">
        <v>268</v>
      </c>
      <c r="C163" s="501"/>
      <c r="D163" s="501"/>
      <c r="E163" s="501"/>
      <c r="F163" s="501"/>
      <c r="G163" s="501"/>
      <c r="H163" s="501"/>
      <c r="I163" s="501"/>
      <c r="J163" s="501"/>
      <c r="K163" s="501"/>
      <c r="L163" s="349"/>
      <c r="M163" s="349"/>
      <c r="N163" s="349"/>
      <c r="O163" s="349"/>
      <c r="P163" s="349"/>
      <c r="Q163" s="349"/>
      <c r="R163" s="349"/>
      <c r="S163" s="349"/>
      <c r="T163" s="349"/>
      <c r="U163" s="349"/>
      <c r="V163" s="502"/>
      <c r="W163" s="386"/>
      <c r="X163" s="503"/>
      <c r="Y163" s="503"/>
      <c r="Z163" s="503"/>
      <c r="AA163" s="503"/>
      <c r="AB163" s="503"/>
      <c r="AC163" s="504"/>
      <c r="AD163" s="504"/>
      <c r="AE163" s="504"/>
      <c r="AF163" s="504"/>
      <c r="AG163" s="505"/>
      <c r="AH163" s="505"/>
    </row>
    <row r="164" spans="2:34" ht="15" x14ac:dyDescent="0.25">
      <c r="B164" s="506" t="s">
        <v>269</v>
      </c>
      <c r="C164" s="501"/>
      <c r="D164" s="501"/>
      <c r="E164" s="501"/>
      <c r="F164" s="501"/>
      <c r="G164" s="501"/>
      <c r="H164" s="501"/>
      <c r="I164" s="501"/>
      <c r="J164" s="501"/>
      <c r="K164" s="501"/>
      <c r="L164" s="349"/>
      <c r="M164" s="349"/>
      <c r="N164" s="349"/>
      <c r="O164" s="349"/>
      <c r="P164" s="349"/>
      <c r="Q164" s="349"/>
      <c r="R164" s="349"/>
      <c r="S164" s="349"/>
      <c r="T164" s="349"/>
      <c r="U164" s="349"/>
      <c r="V164" s="502"/>
      <c r="W164" s="386"/>
      <c r="X164" s="503"/>
      <c r="Y164" s="503"/>
      <c r="Z164" s="503"/>
      <c r="AA164" s="503"/>
      <c r="AB164" s="503"/>
      <c r="AC164" s="504"/>
      <c r="AD164" s="504"/>
      <c r="AE164" s="504"/>
      <c r="AF164" s="504"/>
      <c r="AG164" s="505"/>
      <c r="AH164" s="505"/>
    </row>
    <row r="165" spans="2:34" ht="15" x14ac:dyDescent="0.25">
      <c r="B165" s="506" t="s">
        <v>270</v>
      </c>
      <c r="C165" s="501"/>
      <c r="D165" s="501"/>
      <c r="E165" s="501"/>
      <c r="F165" s="501"/>
      <c r="G165" s="501"/>
      <c r="H165" s="501"/>
      <c r="I165" s="501"/>
      <c r="J165" s="501"/>
      <c r="K165" s="501"/>
      <c r="L165" s="349"/>
      <c r="M165" s="349"/>
      <c r="N165" s="349"/>
      <c r="O165" s="349"/>
      <c r="P165" s="349"/>
      <c r="Q165" s="349"/>
      <c r="R165" s="349"/>
      <c r="S165" s="349"/>
      <c r="T165" s="349"/>
      <c r="U165" s="349"/>
      <c r="V165" s="502"/>
      <c r="W165" s="386"/>
      <c r="X165" s="503"/>
      <c r="Y165" s="503"/>
      <c r="Z165" s="503"/>
      <c r="AA165" s="503"/>
      <c r="AB165" s="503"/>
      <c r="AC165" s="504"/>
      <c r="AD165" s="504"/>
      <c r="AE165" s="504"/>
      <c r="AF165" s="504"/>
      <c r="AG165" s="505"/>
      <c r="AH165" s="505"/>
    </row>
    <row r="166" spans="2:34" ht="15" x14ac:dyDescent="0.25">
      <c r="B166" s="506" t="s">
        <v>271</v>
      </c>
      <c r="C166" s="501"/>
      <c r="D166" s="501"/>
      <c r="E166" s="501"/>
      <c r="F166" s="501"/>
      <c r="G166" s="501"/>
      <c r="H166" s="501"/>
      <c r="I166" s="501"/>
      <c r="J166" s="501"/>
      <c r="K166" s="501"/>
      <c r="L166" s="349"/>
      <c r="M166" s="349"/>
      <c r="N166" s="349"/>
      <c r="O166" s="349"/>
      <c r="P166" s="349"/>
      <c r="Q166" s="349"/>
      <c r="R166" s="349"/>
      <c r="S166" s="349"/>
      <c r="T166" s="349"/>
      <c r="U166" s="349"/>
      <c r="V166" s="502"/>
      <c r="W166" s="386"/>
      <c r="X166" s="503"/>
      <c r="Y166" s="503"/>
      <c r="Z166" s="503"/>
      <c r="AA166" s="503"/>
      <c r="AB166" s="503"/>
      <c r="AC166" s="504"/>
      <c r="AD166" s="504"/>
      <c r="AE166" s="504"/>
      <c r="AF166" s="504"/>
      <c r="AG166" s="505"/>
      <c r="AH166" s="505"/>
    </row>
    <row r="167" spans="2:34" ht="15" x14ac:dyDescent="0.25">
      <c r="B167" s="506" t="s">
        <v>272</v>
      </c>
      <c r="C167" s="501"/>
      <c r="D167" s="501"/>
      <c r="E167" s="501"/>
      <c r="F167" s="501"/>
      <c r="G167" s="501"/>
      <c r="H167" s="501"/>
      <c r="I167" s="501"/>
      <c r="J167" s="501"/>
      <c r="K167" s="501"/>
      <c r="L167" s="349"/>
      <c r="M167" s="349"/>
      <c r="N167" s="349"/>
      <c r="O167" s="349"/>
      <c r="P167" s="349"/>
      <c r="Q167" s="349"/>
      <c r="R167" s="349"/>
      <c r="S167" s="349"/>
      <c r="T167" s="349"/>
      <c r="U167" s="349"/>
      <c r="V167" s="502"/>
      <c r="W167" s="386"/>
      <c r="X167" s="503"/>
      <c r="Y167" s="503"/>
      <c r="Z167" s="503"/>
      <c r="AA167" s="503"/>
      <c r="AB167" s="503"/>
      <c r="AC167" s="504"/>
      <c r="AD167" s="504"/>
      <c r="AE167" s="504"/>
      <c r="AF167" s="504"/>
      <c r="AG167" s="505"/>
      <c r="AH167" s="505"/>
    </row>
    <row r="168" spans="2:34" ht="15" x14ac:dyDescent="0.25">
      <c r="B168" s="506" t="s">
        <v>273</v>
      </c>
      <c r="C168" s="501"/>
      <c r="D168" s="501"/>
      <c r="E168" s="501"/>
      <c r="F168" s="501"/>
      <c r="G168" s="501"/>
      <c r="H168" s="501"/>
      <c r="I168" s="501"/>
      <c r="J168" s="501"/>
      <c r="K168" s="501"/>
      <c r="L168" s="349"/>
      <c r="M168" s="349"/>
      <c r="N168" s="349"/>
      <c r="O168" s="349"/>
      <c r="P168" s="349"/>
      <c r="Q168" s="349"/>
      <c r="R168" s="349"/>
      <c r="S168" s="349"/>
      <c r="T168" s="349"/>
      <c r="U168" s="349"/>
      <c r="V168" s="502"/>
      <c r="W168" s="386"/>
      <c r="X168" s="503"/>
      <c r="Y168" s="503"/>
      <c r="Z168" s="503"/>
      <c r="AA168" s="503"/>
      <c r="AB168" s="503"/>
      <c r="AC168" s="504"/>
      <c r="AD168" s="504"/>
      <c r="AE168" s="504"/>
      <c r="AF168" s="504"/>
      <c r="AG168" s="505"/>
      <c r="AH168" s="505"/>
    </row>
    <row r="169" spans="2:34" ht="15" x14ac:dyDescent="0.25">
      <c r="B169" s="506" t="s">
        <v>274</v>
      </c>
      <c r="C169" s="501"/>
      <c r="D169" s="501"/>
      <c r="E169" s="501"/>
      <c r="F169" s="501"/>
      <c r="G169" s="501"/>
      <c r="H169" s="501"/>
      <c r="I169" s="501"/>
      <c r="J169" s="501"/>
      <c r="K169" s="501"/>
      <c r="L169" s="349"/>
      <c r="M169" s="349"/>
      <c r="N169" s="349"/>
      <c r="O169" s="349"/>
      <c r="P169" s="349"/>
      <c r="Q169" s="349"/>
      <c r="R169" s="349"/>
      <c r="S169" s="349"/>
      <c r="T169" s="349"/>
      <c r="U169" s="349"/>
      <c r="V169" s="502"/>
      <c r="W169" s="386"/>
      <c r="X169" s="503"/>
      <c r="Y169" s="503"/>
      <c r="Z169" s="503"/>
      <c r="AA169" s="503"/>
      <c r="AB169" s="503"/>
      <c r="AC169" s="504"/>
      <c r="AD169" s="504"/>
      <c r="AE169" s="504"/>
      <c r="AF169" s="504"/>
      <c r="AG169" s="505"/>
      <c r="AH169" s="505"/>
    </row>
    <row r="170" spans="2:34" ht="15" x14ac:dyDescent="0.25">
      <c r="B170" s="506" t="s">
        <v>275</v>
      </c>
      <c r="C170" s="501"/>
      <c r="D170" s="501"/>
      <c r="E170" s="501"/>
      <c r="F170" s="501"/>
      <c r="G170" s="501"/>
      <c r="H170" s="501"/>
      <c r="I170" s="501"/>
      <c r="J170" s="501"/>
      <c r="K170" s="501"/>
      <c r="L170" s="349"/>
      <c r="M170" s="349"/>
      <c r="N170" s="349"/>
      <c r="O170" s="349"/>
      <c r="P170" s="349"/>
      <c r="Q170" s="349"/>
      <c r="R170" s="349"/>
      <c r="S170" s="349"/>
      <c r="T170" s="349"/>
      <c r="U170" s="349"/>
      <c r="V170" s="502"/>
      <c r="W170" s="386"/>
      <c r="X170" s="503"/>
      <c r="Y170" s="503"/>
      <c r="Z170" s="503"/>
      <c r="AA170" s="503"/>
      <c r="AB170" s="503"/>
      <c r="AC170" s="504"/>
      <c r="AD170" s="504"/>
      <c r="AE170" s="504"/>
      <c r="AF170" s="504"/>
      <c r="AG170" s="505"/>
      <c r="AH170" s="505"/>
    </row>
    <row r="171" spans="2:34" ht="15" x14ac:dyDescent="0.25">
      <c r="B171" s="506" t="s">
        <v>276</v>
      </c>
      <c r="C171" s="501"/>
      <c r="D171" s="501"/>
      <c r="E171" s="501"/>
      <c r="F171" s="501"/>
      <c r="G171" s="501"/>
      <c r="H171" s="501"/>
      <c r="I171" s="501"/>
      <c r="J171" s="501"/>
      <c r="K171" s="501"/>
      <c r="L171" s="349"/>
      <c r="M171" s="349"/>
      <c r="N171" s="349"/>
      <c r="O171" s="349"/>
      <c r="P171" s="349"/>
      <c r="Q171" s="349"/>
      <c r="R171" s="349"/>
      <c r="S171" s="349"/>
      <c r="T171" s="349"/>
      <c r="U171" s="349"/>
      <c r="V171" s="502"/>
      <c r="W171" s="386"/>
      <c r="X171" s="503"/>
      <c r="Y171" s="503"/>
      <c r="Z171" s="503"/>
      <c r="AA171" s="503"/>
      <c r="AB171" s="503"/>
      <c r="AC171" s="504"/>
      <c r="AD171" s="504"/>
      <c r="AE171" s="504"/>
      <c r="AF171" s="504"/>
      <c r="AG171" s="505"/>
      <c r="AH171" s="505"/>
    </row>
    <row r="172" spans="2:34" ht="15" x14ac:dyDescent="0.25">
      <c r="B172" s="506" t="s">
        <v>277</v>
      </c>
      <c r="C172" s="501"/>
      <c r="D172" s="501"/>
      <c r="E172" s="501"/>
      <c r="F172" s="501"/>
      <c r="G172" s="501"/>
      <c r="H172" s="501"/>
      <c r="I172" s="501"/>
      <c r="J172" s="501"/>
      <c r="K172" s="501"/>
      <c r="L172" s="349"/>
      <c r="M172" s="349"/>
      <c r="N172" s="349"/>
      <c r="O172" s="349"/>
      <c r="P172" s="349"/>
      <c r="Q172" s="349"/>
      <c r="R172" s="349"/>
      <c r="S172" s="349"/>
      <c r="T172" s="349"/>
      <c r="U172" s="349"/>
      <c r="V172" s="502"/>
      <c r="W172" s="386"/>
      <c r="X172" s="503"/>
      <c r="Y172" s="503"/>
      <c r="Z172" s="503"/>
      <c r="AA172" s="503"/>
      <c r="AB172" s="503"/>
      <c r="AC172" s="504"/>
      <c r="AD172" s="504"/>
      <c r="AE172" s="504"/>
      <c r="AF172" s="504"/>
      <c r="AG172" s="505"/>
      <c r="AH172" s="505"/>
    </row>
    <row r="173" spans="2:34" ht="15" x14ac:dyDescent="0.25">
      <c r="B173" s="506" t="s">
        <v>278</v>
      </c>
      <c r="C173" s="501"/>
      <c r="D173" s="501"/>
      <c r="E173" s="501"/>
      <c r="F173" s="501"/>
      <c r="G173" s="501"/>
      <c r="H173" s="501"/>
      <c r="I173" s="501"/>
      <c r="J173" s="501"/>
      <c r="K173" s="501"/>
      <c r="L173" s="349"/>
      <c r="M173" s="349"/>
      <c r="N173" s="349"/>
      <c r="O173" s="349"/>
      <c r="P173" s="349"/>
      <c r="Q173" s="349"/>
      <c r="R173" s="349"/>
      <c r="S173" s="349"/>
      <c r="T173" s="349"/>
      <c r="U173" s="349"/>
      <c r="V173" s="502"/>
      <c r="W173" s="386"/>
      <c r="X173" s="503"/>
      <c r="Y173" s="503"/>
      <c r="Z173" s="503"/>
      <c r="AA173" s="503"/>
      <c r="AB173" s="503"/>
      <c r="AC173" s="504"/>
      <c r="AD173" s="504"/>
      <c r="AE173" s="504"/>
      <c r="AF173" s="504"/>
      <c r="AG173" s="505"/>
      <c r="AH173" s="505"/>
    </row>
    <row r="174" spans="2:34" ht="15" x14ac:dyDescent="0.25">
      <c r="B174" s="506" t="s">
        <v>279</v>
      </c>
      <c r="C174" s="501"/>
      <c r="D174" s="501"/>
      <c r="E174" s="501"/>
      <c r="F174" s="501"/>
      <c r="G174" s="501"/>
      <c r="H174" s="501"/>
      <c r="I174" s="501"/>
      <c r="J174" s="501"/>
      <c r="K174" s="501"/>
      <c r="L174" s="349"/>
      <c r="M174" s="349"/>
      <c r="N174" s="349"/>
      <c r="O174" s="349"/>
      <c r="P174" s="349"/>
      <c r="Q174" s="349"/>
      <c r="R174" s="349"/>
      <c r="S174" s="349"/>
      <c r="T174" s="349"/>
      <c r="U174" s="349"/>
      <c r="V174" s="502"/>
      <c r="W174" s="386"/>
      <c r="X174" s="503"/>
      <c r="Y174" s="503"/>
      <c r="Z174" s="503"/>
      <c r="AA174" s="503"/>
      <c r="AB174" s="503"/>
      <c r="AC174" s="504"/>
      <c r="AD174" s="504"/>
      <c r="AE174" s="504"/>
      <c r="AF174" s="504"/>
      <c r="AG174" s="505"/>
      <c r="AH174" s="505"/>
    </row>
    <row r="175" spans="2:34" ht="15" x14ac:dyDescent="0.25">
      <c r="B175" s="506" t="s">
        <v>280</v>
      </c>
      <c r="C175" s="501"/>
      <c r="D175" s="501"/>
      <c r="E175" s="501"/>
      <c r="F175" s="501"/>
      <c r="G175" s="501"/>
      <c r="H175" s="501"/>
      <c r="I175" s="501"/>
      <c r="J175" s="501"/>
      <c r="K175" s="501"/>
      <c r="L175" s="349"/>
      <c r="M175" s="349"/>
      <c r="N175" s="349"/>
      <c r="O175" s="349"/>
      <c r="P175" s="349"/>
      <c r="Q175" s="349"/>
      <c r="R175" s="349"/>
      <c r="S175" s="349"/>
      <c r="T175" s="349"/>
      <c r="U175" s="349"/>
      <c r="V175" s="502"/>
      <c r="W175" s="386"/>
      <c r="X175" s="503"/>
      <c r="Y175" s="503"/>
      <c r="Z175" s="503"/>
      <c r="AA175" s="503"/>
      <c r="AB175" s="503"/>
      <c r="AC175" s="504"/>
      <c r="AD175" s="504"/>
      <c r="AE175" s="504"/>
      <c r="AF175" s="504"/>
      <c r="AG175" s="505"/>
      <c r="AH175" s="505"/>
    </row>
    <row r="176" spans="2:34" ht="15" x14ac:dyDescent="0.25">
      <c r="B176" s="506" t="s">
        <v>281</v>
      </c>
      <c r="C176" s="501"/>
      <c r="D176" s="501"/>
      <c r="E176" s="501"/>
      <c r="F176" s="501"/>
      <c r="G176" s="501"/>
      <c r="H176" s="501"/>
      <c r="I176" s="501"/>
      <c r="J176" s="501"/>
      <c r="K176" s="501"/>
      <c r="L176" s="349"/>
      <c r="M176" s="349"/>
      <c r="N176" s="349"/>
      <c r="O176" s="349"/>
      <c r="P176" s="349"/>
      <c r="Q176" s="349"/>
      <c r="R176" s="349"/>
      <c r="S176" s="349"/>
      <c r="T176" s="349"/>
      <c r="U176" s="349"/>
      <c r="V176" s="502"/>
      <c r="W176" s="386"/>
      <c r="X176" s="503"/>
      <c r="Y176" s="503"/>
      <c r="Z176" s="503"/>
      <c r="AA176" s="503"/>
      <c r="AB176" s="503"/>
      <c r="AC176" s="504"/>
      <c r="AD176" s="504"/>
      <c r="AE176" s="504"/>
      <c r="AF176" s="504"/>
      <c r="AG176" s="505"/>
      <c r="AH176" s="505"/>
    </row>
    <row r="177" spans="2:34" ht="15" x14ac:dyDescent="0.25">
      <c r="B177" s="506" t="s">
        <v>282</v>
      </c>
      <c r="C177" s="501"/>
      <c r="D177" s="501"/>
      <c r="E177" s="501"/>
      <c r="F177" s="501"/>
      <c r="G177" s="501"/>
      <c r="H177" s="501"/>
      <c r="I177" s="501"/>
      <c r="J177" s="501"/>
      <c r="K177" s="501"/>
      <c r="L177" s="349"/>
      <c r="M177" s="349"/>
      <c r="N177" s="349"/>
      <c r="O177" s="349"/>
      <c r="P177" s="349"/>
      <c r="Q177" s="349"/>
      <c r="R177" s="349"/>
      <c r="S177" s="349"/>
      <c r="T177" s="349"/>
      <c r="U177" s="349"/>
      <c r="V177" s="502"/>
      <c r="W177" s="386"/>
      <c r="X177" s="503"/>
      <c r="Y177" s="503"/>
      <c r="Z177" s="503"/>
      <c r="AA177" s="503"/>
      <c r="AB177" s="503"/>
      <c r="AC177" s="504"/>
      <c r="AD177" s="504"/>
      <c r="AE177" s="504"/>
      <c r="AF177" s="504"/>
      <c r="AG177" s="505"/>
      <c r="AH177" s="505"/>
    </row>
    <row r="178" spans="2:34" ht="15" x14ac:dyDescent="0.25">
      <c r="B178" s="506" t="s">
        <v>283</v>
      </c>
      <c r="C178" s="501"/>
      <c r="D178" s="501"/>
      <c r="E178" s="501"/>
      <c r="F178" s="501"/>
      <c r="G178" s="501"/>
      <c r="H178" s="501"/>
      <c r="I178" s="501"/>
      <c r="J178" s="501"/>
      <c r="K178" s="501"/>
      <c r="L178" s="349"/>
      <c r="M178" s="349"/>
      <c r="N178" s="349"/>
      <c r="O178" s="349"/>
      <c r="P178" s="349"/>
      <c r="Q178" s="349"/>
      <c r="R178" s="349"/>
      <c r="S178" s="349"/>
      <c r="T178" s="349"/>
      <c r="U178" s="349"/>
      <c r="V178" s="502"/>
      <c r="W178" s="386"/>
      <c r="X178" s="503"/>
      <c r="Y178" s="503"/>
      <c r="Z178" s="503"/>
      <c r="AA178" s="503"/>
      <c r="AB178" s="503"/>
      <c r="AC178" s="504"/>
      <c r="AD178" s="504"/>
      <c r="AE178" s="504"/>
      <c r="AF178" s="504"/>
      <c r="AG178" s="505"/>
      <c r="AH178" s="505"/>
    </row>
    <row r="179" spans="2:34" ht="15" x14ac:dyDescent="0.25">
      <c r="B179" s="506" t="s">
        <v>284</v>
      </c>
      <c r="C179" s="501"/>
      <c r="D179" s="501"/>
      <c r="E179" s="501"/>
      <c r="F179" s="501"/>
      <c r="G179" s="501"/>
      <c r="H179" s="501"/>
      <c r="I179" s="501"/>
      <c r="J179" s="501"/>
      <c r="K179" s="501"/>
      <c r="L179" s="349"/>
      <c r="M179" s="349"/>
      <c r="N179" s="349"/>
      <c r="O179" s="349"/>
      <c r="P179" s="349"/>
      <c r="Q179" s="349"/>
      <c r="R179" s="349"/>
      <c r="S179" s="349"/>
      <c r="T179" s="349"/>
      <c r="U179" s="349"/>
      <c r="V179" s="502"/>
      <c r="W179" s="386"/>
      <c r="X179" s="503"/>
      <c r="Y179" s="503"/>
      <c r="Z179" s="503"/>
      <c r="AA179" s="503"/>
      <c r="AB179" s="503"/>
      <c r="AC179" s="504"/>
      <c r="AD179" s="504"/>
      <c r="AE179" s="504"/>
      <c r="AF179" s="504"/>
      <c r="AG179" s="505"/>
      <c r="AH179" s="505"/>
    </row>
    <row r="180" spans="2:34" ht="15" x14ac:dyDescent="0.25">
      <c r="B180" s="506" t="s">
        <v>285</v>
      </c>
      <c r="C180" s="501"/>
      <c r="D180" s="501"/>
      <c r="E180" s="501"/>
      <c r="F180" s="501"/>
      <c r="G180" s="501"/>
      <c r="H180" s="501"/>
      <c r="I180" s="501"/>
      <c r="J180" s="501"/>
      <c r="K180" s="501"/>
      <c r="L180" s="349"/>
      <c r="M180" s="349"/>
      <c r="N180" s="349"/>
      <c r="O180" s="349"/>
      <c r="P180" s="349"/>
      <c r="Q180" s="349"/>
      <c r="R180" s="349"/>
      <c r="S180" s="349"/>
      <c r="T180" s="349"/>
      <c r="U180" s="349"/>
      <c r="V180" s="502"/>
      <c r="W180" s="386"/>
      <c r="X180" s="503"/>
      <c r="Y180" s="503"/>
      <c r="Z180" s="503"/>
      <c r="AA180" s="503"/>
      <c r="AB180" s="503"/>
      <c r="AC180" s="504"/>
      <c r="AD180" s="504"/>
      <c r="AE180" s="504"/>
      <c r="AF180" s="504"/>
      <c r="AG180" s="505"/>
      <c r="AH180" s="505"/>
    </row>
    <row r="181" spans="2:34" ht="15" x14ac:dyDescent="0.25">
      <c r="B181" s="506" t="s">
        <v>286</v>
      </c>
      <c r="C181" s="501"/>
      <c r="D181" s="501"/>
      <c r="E181" s="501"/>
      <c r="F181" s="501"/>
      <c r="G181" s="501"/>
      <c r="H181" s="501"/>
      <c r="I181" s="501"/>
      <c r="J181" s="501"/>
      <c r="K181" s="501"/>
      <c r="L181" s="349"/>
      <c r="M181" s="349"/>
      <c r="N181" s="349"/>
      <c r="O181" s="349"/>
      <c r="P181" s="349"/>
      <c r="Q181" s="349"/>
      <c r="R181" s="349"/>
      <c r="S181" s="349"/>
      <c r="T181" s="349"/>
      <c r="U181" s="349"/>
      <c r="V181" s="502"/>
      <c r="W181" s="386"/>
      <c r="X181" s="503"/>
      <c r="Y181" s="503"/>
      <c r="Z181" s="503"/>
      <c r="AA181" s="503"/>
      <c r="AB181" s="503"/>
      <c r="AC181" s="504"/>
      <c r="AD181" s="504"/>
      <c r="AE181" s="504"/>
      <c r="AF181" s="504"/>
      <c r="AG181" s="505"/>
      <c r="AH181" s="505"/>
    </row>
    <row r="182" spans="2:34" ht="15" x14ac:dyDescent="0.25">
      <c r="B182" s="506" t="s">
        <v>287</v>
      </c>
      <c r="C182" s="501"/>
      <c r="D182" s="501"/>
      <c r="E182" s="501"/>
      <c r="F182" s="501"/>
      <c r="G182" s="501"/>
      <c r="H182" s="501"/>
      <c r="I182" s="501"/>
      <c r="J182" s="501"/>
      <c r="K182" s="501"/>
      <c r="L182" s="349"/>
      <c r="M182" s="349"/>
      <c r="N182" s="349"/>
      <c r="O182" s="349"/>
      <c r="P182" s="349"/>
      <c r="Q182" s="349"/>
      <c r="R182" s="349"/>
      <c r="S182" s="349"/>
      <c r="T182" s="349"/>
      <c r="U182" s="349"/>
      <c r="V182" s="502"/>
      <c r="W182" s="386"/>
      <c r="X182" s="503"/>
      <c r="Y182" s="503"/>
      <c r="Z182" s="503"/>
      <c r="AA182" s="503"/>
      <c r="AB182" s="503"/>
      <c r="AC182" s="504"/>
      <c r="AD182" s="504"/>
      <c r="AE182" s="504"/>
      <c r="AF182" s="504"/>
      <c r="AG182" s="505"/>
      <c r="AH182" s="505"/>
    </row>
    <row r="183" spans="2:34" ht="15" x14ac:dyDescent="0.25">
      <c r="B183" s="506" t="s">
        <v>288</v>
      </c>
      <c r="C183" s="501"/>
      <c r="D183" s="501"/>
      <c r="E183" s="501"/>
      <c r="F183" s="501"/>
      <c r="G183" s="501"/>
      <c r="H183" s="501"/>
      <c r="I183" s="501"/>
      <c r="J183" s="501"/>
      <c r="K183" s="501"/>
      <c r="L183" s="349"/>
      <c r="M183" s="349"/>
      <c r="N183" s="349"/>
      <c r="O183" s="349"/>
      <c r="P183" s="349"/>
      <c r="Q183" s="349"/>
      <c r="R183" s="349"/>
      <c r="S183" s="349"/>
      <c r="T183" s="349"/>
      <c r="U183" s="349"/>
      <c r="V183" s="502"/>
      <c r="W183" s="386"/>
      <c r="X183" s="503"/>
      <c r="Y183" s="503"/>
      <c r="Z183" s="503"/>
      <c r="AA183" s="503"/>
      <c r="AB183" s="503"/>
      <c r="AC183" s="504"/>
      <c r="AD183" s="504"/>
      <c r="AE183" s="504"/>
      <c r="AF183" s="504"/>
      <c r="AG183" s="505"/>
      <c r="AH183" s="505"/>
    </row>
    <row r="184" spans="2:34" ht="15" x14ac:dyDescent="0.25">
      <c r="B184" s="506" t="s">
        <v>289</v>
      </c>
      <c r="C184" s="501"/>
      <c r="D184" s="501"/>
      <c r="E184" s="501"/>
      <c r="F184" s="501"/>
      <c r="G184" s="501"/>
      <c r="H184" s="501"/>
      <c r="I184" s="501"/>
      <c r="J184" s="501"/>
      <c r="K184" s="501"/>
      <c r="L184" s="349"/>
      <c r="M184" s="349"/>
      <c r="N184" s="349"/>
      <c r="O184" s="349"/>
      <c r="P184" s="349"/>
      <c r="Q184" s="349"/>
      <c r="R184" s="349"/>
      <c r="S184" s="349"/>
      <c r="T184" s="349"/>
      <c r="U184" s="349"/>
      <c r="V184" s="502"/>
      <c r="W184" s="386"/>
      <c r="X184" s="503"/>
      <c r="Y184" s="503"/>
      <c r="Z184" s="503"/>
      <c r="AA184" s="503"/>
      <c r="AB184" s="503"/>
      <c r="AC184" s="504"/>
      <c r="AD184" s="504"/>
      <c r="AE184" s="504"/>
      <c r="AF184" s="504"/>
      <c r="AG184" s="505"/>
      <c r="AH184" s="505"/>
    </row>
    <row r="185" spans="2:34" ht="15" x14ac:dyDescent="0.25">
      <c r="B185" s="506" t="s">
        <v>290</v>
      </c>
      <c r="C185" s="501"/>
      <c r="D185" s="501"/>
      <c r="E185" s="501"/>
      <c r="F185" s="501"/>
      <c r="G185" s="501"/>
      <c r="H185" s="501"/>
      <c r="I185" s="501"/>
      <c r="J185" s="501"/>
      <c r="K185" s="501"/>
      <c r="L185" s="349"/>
      <c r="M185" s="349"/>
      <c r="N185" s="349"/>
      <c r="O185" s="349"/>
      <c r="P185" s="349"/>
      <c r="Q185" s="349"/>
      <c r="R185" s="349"/>
      <c r="S185" s="349"/>
      <c r="T185" s="349"/>
      <c r="U185" s="349"/>
      <c r="V185" s="502"/>
      <c r="W185" s="386"/>
      <c r="X185" s="503"/>
      <c r="Y185" s="503"/>
      <c r="Z185" s="503"/>
      <c r="AA185" s="503"/>
      <c r="AB185" s="503"/>
      <c r="AC185" s="504"/>
      <c r="AD185" s="504"/>
      <c r="AE185" s="504"/>
      <c r="AF185" s="504"/>
      <c r="AG185" s="505"/>
      <c r="AH185" s="505"/>
    </row>
    <row r="186" spans="2:34" ht="15" x14ac:dyDescent="0.25">
      <c r="B186" s="506" t="s">
        <v>291</v>
      </c>
      <c r="C186" s="501"/>
      <c r="D186" s="501"/>
      <c r="E186" s="501"/>
      <c r="F186" s="501"/>
      <c r="G186" s="501"/>
      <c r="H186" s="501"/>
      <c r="I186" s="501"/>
      <c r="J186" s="501"/>
      <c r="K186" s="501"/>
      <c r="L186" s="349"/>
      <c r="M186" s="349"/>
      <c r="N186" s="349"/>
      <c r="O186" s="349"/>
      <c r="P186" s="349"/>
      <c r="Q186" s="349"/>
      <c r="R186" s="349"/>
      <c r="S186" s="349"/>
      <c r="T186" s="349"/>
      <c r="U186" s="349"/>
      <c r="V186" s="502"/>
      <c r="W186" s="386"/>
      <c r="X186" s="503"/>
      <c r="Y186" s="503"/>
      <c r="Z186" s="503"/>
      <c r="AA186" s="503"/>
      <c r="AB186" s="503"/>
      <c r="AC186" s="504"/>
      <c r="AD186" s="504"/>
      <c r="AE186" s="504"/>
      <c r="AF186" s="504"/>
      <c r="AG186" s="505"/>
      <c r="AH186" s="505"/>
    </row>
    <row r="187" spans="2:34" ht="15" x14ac:dyDescent="0.25">
      <c r="B187" s="500" t="s">
        <v>1311</v>
      </c>
      <c r="C187" s="501"/>
      <c r="D187" s="501"/>
      <c r="E187" s="501"/>
      <c r="F187" s="501"/>
      <c r="G187" s="501"/>
      <c r="H187" s="501"/>
      <c r="I187" s="501"/>
      <c r="J187" s="501"/>
      <c r="K187" s="501"/>
      <c r="L187" s="349"/>
      <c r="M187" s="349"/>
      <c r="N187" s="349"/>
      <c r="O187" s="349"/>
      <c r="P187" s="349"/>
      <c r="Q187" s="349"/>
      <c r="R187" s="349"/>
      <c r="S187" s="349"/>
      <c r="T187" s="349"/>
      <c r="U187" s="349"/>
      <c r="V187" s="502"/>
      <c r="W187" s="386"/>
      <c r="X187" s="503"/>
      <c r="Y187" s="503"/>
      <c r="Z187" s="503"/>
      <c r="AA187" s="503"/>
      <c r="AB187" s="503"/>
      <c r="AC187" s="504"/>
      <c r="AD187" s="504"/>
      <c r="AE187" s="504"/>
      <c r="AF187" s="504"/>
      <c r="AG187" s="505"/>
      <c r="AH187" s="505"/>
    </row>
    <row r="188" spans="2:34" ht="15" x14ac:dyDescent="0.25">
      <c r="B188" s="500" t="s">
        <v>487</v>
      </c>
      <c r="C188" s="501"/>
      <c r="D188" s="501"/>
      <c r="E188" s="501"/>
      <c r="F188" s="501"/>
      <c r="G188" s="501"/>
      <c r="H188" s="501"/>
      <c r="I188" s="501"/>
      <c r="J188" s="501"/>
      <c r="K188" s="501"/>
      <c r="L188" s="349"/>
      <c r="M188" s="349"/>
      <c r="N188" s="349"/>
      <c r="O188" s="349"/>
      <c r="P188" s="349"/>
      <c r="Q188" s="349"/>
      <c r="R188" s="349"/>
      <c r="S188" s="349"/>
      <c r="T188" s="349"/>
      <c r="U188" s="349"/>
      <c r="V188" s="502"/>
      <c r="W188" s="386"/>
      <c r="X188" s="503"/>
      <c r="Y188" s="503"/>
      <c r="Z188" s="503"/>
      <c r="AA188" s="503"/>
      <c r="AB188" s="503"/>
      <c r="AC188" s="504"/>
      <c r="AD188" s="504"/>
      <c r="AE188" s="504"/>
      <c r="AF188" s="504"/>
      <c r="AG188" s="505"/>
      <c r="AH188" s="505"/>
    </row>
    <row r="189" spans="2:34" ht="15" x14ac:dyDescent="0.25">
      <c r="B189" s="506" t="s">
        <v>488</v>
      </c>
      <c r="C189" s="501"/>
      <c r="D189" s="501"/>
      <c r="E189" s="501"/>
      <c r="F189" s="501"/>
      <c r="G189" s="501"/>
      <c r="H189" s="501"/>
      <c r="I189" s="501"/>
      <c r="J189" s="501"/>
      <c r="K189" s="501"/>
      <c r="L189" s="349"/>
      <c r="M189" s="349"/>
      <c r="N189" s="349"/>
      <c r="O189" s="349"/>
      <c r="P189" s="349"/>
      <c r="Q189" s="349"/>
      <c r="R189" s="349"/>
      <c r="S189" s="349"/>
      <c r="T189" s="349"/>
      <c r="U189" s="349"/>
      <c r="V189" s="502"/>
      <c r="W189" s="386"/>
      <c r="X189" s="503"/>
      <c r="Y189" s="503"/>
      <c r="Z189" s="503"/>
      <c r="AA189" s="503"/>
      <c r="AB189" s="503"/>
      <c r="AC189" s="504"/>
      <c r="AD189" s="504"/>
      <c r="AE189" s="504"/>
      <c r="AF189" s="504"/>
      <c r="AG189" s="505"/>
      <c r="AH189" s="505"/>
    </row>
    <row r="190" spans="2:34" ht="15" x14ac:dyDescent="0.25">
      <c r="B190" s="506" t="s">
        <v>292</v>
      </c>
      <c r="C190" s="501"/>
      <c r="D190" s="501"/>
      <c r="E190" s="501"/>
      <c r="F190" s="501"/>
      <c r="G190" s="501"/>
      <c r="H190" s="501"/>
      <c r="I190" s="501"/>
      <c r="J190" s="501"/>
      <c r="K190" s="501"/>
      <c r="L190" s="349"/>
      <c r="M190" s="349"/>
      <c r="N190" s="349"/>
      <c r="O190" s="349"/>
      <c r="P190" s="349"/>
      <c r="Q190" s="349"/>
      <c r="R190" s="349"/>
      <c r="S190" s="349"/>
      <c r="T190" s="349"/>
      <c r="U190" s="349"/>
      <c r="V190" s="502"/>
      <c r="W190" s="386"/>
      <c r="X190" s="503"/>
      <c r="Y190" s="503"/>
      <c r="Z190" s="503"/>
      <c r="AA190" s="503"/>
      <c r="AB190" s="503"/>
      <c r="AC190" s="504"/>
      <c r="AD190" s="504"/>
      <c r="AE190" s="504"/>
      <c r="AF190" s="504"/>
      <c r="AG190" s="505"/>
      <c r="AH190" s="505"/>
    </row>
    <row r="191" spans="2:34" ht="15" x14ac:dyDescent="0.25">
      <c r="B191" s="506" t="s">
        <v>293</v>
      </c>
      <c r="C191" s="501"/>
      <c r="D191" s="501"/>
      <c r="E191" s="501"/>
      <c r="F191" s="501"/>
      <c r="G191" s="501"/>
      <c r="H191" s="501"/>
      <c r="I191" s="501"/>
      <c r="J191" s="501"/>
      <c r="K191" s="501"/>
      <c r="L191" s="349"/>
      <c r="M191" s="349"/>
      <c r="N191" s="349"/>
      <c r="O191" s="349"/>
      <c r="P191" s="349"/>
      <c r="Q191" s="349"/>
      <c r="R191" s="349"/>
      <c r="S191" s="349"/>
      <c r="T191" s="349"/>
      <c r="U191" s="349"/>
      <c r="V191" s="502"/>
      <c r="W191" s="386"/>
      <c r="X191" s="503"/>
      <c r="Y191" s="503"/>
      <c r="Z191" s="503"/>
      <c r="AA191" s="503"/>
      <c r="AB191" s="503"/>
      <c r="AC191" s="504"/>
      <c r="AD191" s="504"/>
      <c r="AE191" s="504"/>
      <c r="AF191" s="504"/>
      <c r="AG191" s="505"/>
      <c r="AH191" s="505"/>
    </row>
    <row r="192" spans="2:34" ht="15" x14ac:dyDescent="0.25">
      <c r="B192" s="506" t="s">
        <v>294</v>
      </c>
      <c r="C192" s="501"/>
      <c r="D192" s="501"/>
      <c r="E192" s="501"/>
      <c r="F192" s="501"/>
      <c r="G192" s="501"/>
      <c r="H192" s="501"/>
      <c r="I192" s="501"/>
      <c r="J192" s="501"/>
      <c r="K192" s="501"/>
      <c r="L192" s="349"/>
      <c r="M192" s="349"/>
      <c r="N192" s="349"/>
      <c r="O192" s="349"/>
      <c r="P192" s="349"/>
      <c r="Q192" s="349"/>
      <c r="R192" s="349"/>
      <c r="S192" s="349"/>
      <c r="T192" s="349"/>
      <c r="U192" s="349"/>
      <c r="V192" s="502"/>
      <c r="W192" s="386"/>
      <c r="X192" s="503"/>
      <c r="Y192" s="503"/>
      <c r="Z192" s="503"/>
      <c r="AA192" s="503"/>
      <c r="AB192" s="503"/>
      <c r="AC192" s="504"/>
      <c r="AD192" s="504"/>
      <c r="AE192" s="504"/>
      <c r="AF192" s="504"/>
      <c r="AG192" s="505"/>
      <c r="AH192" s="505"/>
    </row>
    <row r="193" spans="2:34" ht="15" x14ac:dyDescent="0.25">
      <c r="B193" s="506" t="s">
        <v>295</v>
      </c>
      <c r="C193" s="501"/>
      <c r="D193" s="501"/>
      <c r="E193" s="501"/>
      <c r="F193" s="501"/>
      <c r="G193" s="501"/>
      <c r="H193" s="501"/>
      <c r="I193" s="501"/>
      <c r="J193" s="501"/>
      <c r="K193" s="501"/>
      <c r="L193" s="349"/>
      <c r="M193" s="349"/>
      <c r="N193" s="349"/>
      <c r="O193" s="349"/>
      <c r="P193" s="349"/>
      <c r="Q193" s="349"/>
      <c r="R193" s="349"/>
      <c r="S193" s="349"/>
      <c r="T193" s="349"/>
      <c r="U193" s="349"/>
      <c r="V193" s="502"/>
      <c r="W193" s="386"/>
      <c r="X193" s="503"/>
      <c r="Y193" s="503"/>
      <c r="Z193" s="503"/>
      <c r="AA193" s="503"/>
      <c r="AB193" s="503"/>
      <c r="AC193" s="504"/>
      <c r="AD193" s="504"/>
      <c r="AE193" s="504"/>
      <c r="AF193" s="504"/>
      <c r="AG193" s="505"/>
      <c r="AH193" s="505"/>
    </row>
    <row r="194" spans="2:34" ht="15" x14ac:dyDescent="0.25">
      <c r="B194" s="506" t="s">
        <v>296</v>
      </c>
      <c r="C194" s="501"/>
      <c r="D194" s="501"/>
      <c r="E194" s="501"/>
      <c r="F194" s="501"/>
      <c r="G194" s="501"/>
      <c r="H194" s="501"/>
      <c r="I194" s="501"/>
      <c r="J194" s="501"/>
      <c r="K194" s="501"/>
      <c r="L194" s="349"/>
      <c r="M194" s="349"/>
      <c r="N194" s="349"/>
      <c r="O194" s="349"/>
      <c r="P194" s="349"/>
      <c r="Q194" s="349"/>
      <c r="R194" s="349"/>
      <c r="S194" s="349"/>
      <c r="T194" s="349"/>
      <c r="U194" s="349"/>
      <c r="V194" s="502"/>
      <c r="W194" s="386"/>
      <c r="X194" s="503"/>
      <c r="Y194" s="503"/>
      <c r="Z194" s="503"/>
      <c r="AA194" s="503"/>
      <c r="AB194" s="503"/>
      <c r="AC194" s="504"/>
      <c r="AD194" s="504"/>
      <c r="AE194" s="504"/>
      <c r="AF194" s="504"/>
      <c r="AG194" s="505"/>
      <c r="AH194" s="505"/>
    </row>
    <row r="195" spans="2:34" ht="15" x14ac:dyDescent="0.25">
      <c r="B195" s="506" t="s">
        <v>297</v>
      </c>
      <c r="C195" s="501"/>
      <c r="D195" s="501"/>
      <c r="E195" s="501"/>
      <c r="F195" s="501"/>
      <c r="G195" s="501"/>
      <c r="H195" s="501"/>
      <c r="I195" s="501"/>
      <c r="J195" s="501"/>
      <c r="K195" s="501"/>
      <c r="L195" s="349"/>
      <c r="M195" s="349"/>
      <c r="N195" s="349"/>
      <c r="O195" s="349"/>
      <c r="P195" s="349"/>
      <c r="Q195" s="349"/>
      <c r="R195" s="349"/>
      <c r="S195" s="349"/>
      <c r="T195" s="349"/>
      <c r="U195" s="349"/>
      <c r="V195" s="502"/>
      <c r="W195" s="386"/>
      <c r="X195" s="503"/>
      <c r="Y195" s="503"/>
      <c r="Z195" s="503"/>
      <c r="AA195" s="503"/>
      <c r="AB195" s="503"/>
      <c r="AC195" s="504"/>
      <c r="AD195" s="504"/>
      <c r="AE195" s="504"/>
      <c r="AF195" s="504"/>
      <c r="AG195" s="505"/>
      <c r="AH195" s="505"/>
    </row>
    <row r="196" spans="2:34" ht="15" x14ac:dyDescent="0.25">
      <c r="B196" s="506" t="s">
        <v>298</v>
      </c>
      <c r="C196" s="501"/>
      <c r="D196" s="501"/>
      <c r="E196" s="501"/>
      <c r="F196" s="501"/>
      <c r="G196" s="501"/>
      <c r="H196" s="501"/>
      <c r="I196" s="501"/>
      <c r="J196" s="501"/>
      <c r="K196" s="501"/>
      <c r="L196" s="349"/>
      <c r="M196" s="349"/>
      <c r="N196" s="349"/>
      <c r="O196" s="349"/>
      <c r="P196" s="349"/>
      <c r="Q196" s="349"/>
      <c r="R196" s="349"/>
      <c r="S196" s="349"/>
      <c r="T196" s="349"/>
      <c r="U196" s="349"/>
      <c r="V196" s="502"/>
      <c r="W196" s="386"/>
      <c r="X196" s="503"/>
      <c r="Y196" s="503"/>
      <c r="Z196" s="503"/>
      <c r="AA196" s="503"/>
      <c r="AB196" s="503"/>
      <c r="AC196" s="504"/>
      <c r="AD196" s="504"/>
      <c r="AE196" s="504"/>
      <c r="AF196" s="504"/>
      <c r="AG196" s="505"/>
      <c r="AH196" s="505"/>
    </row>
    <row r="197" spans="2:34" ht="15" x14ac:dyDescent="0.25">
      <c r="B197" s="506" t="s">
        <v>299</v>
      </c>
      <c r="C197" s="501"/>
      <c r="D197" s="501"/>
      <c r="E197" s="501"/>
      <c r="F197" s="501"/>
      <c r="G197" s="501"/>
      <c r="H197" s="501"/>
      <c r="I197" s="501"/>
      <c r="J197" s="501"/>
      <c r="K197" s="501"/>
      <c r="L197" s="349"/>
      <c r="M197" s="349"/>
      <c r="N197" s="349"/>
      <c r="O197" s="349"/>
      <c r="P197" s="349"/>
      <c r="Q197" s="349"/>
      <c r="R197" s="349"/>
      <c r="S197" s="349"/>
      <c r="T197" s="349"/>
      <c r="U197" s="349"/>
      <c r="V197" s="502"/>
      <c r="W197" s="386"/>
      <c r="X197" s="503"/>
      <c r="Y197" s="503"/>
      <c r="Z197" s="503"/>
      <c r="AA197" s="503"/>
      <c r="AB197" s="503"/>
      <c r="AC197" s="504"/>
      <c r="AD197" s="504"/>
      <c r="AE197" s="504"/>
      <c r="AF197" s="504"/>
      <c r="AG197" s="505"/>
      <c r="AH197" s="505"/>
    </row>
    <row r="198" spans="2:34" ht="15" x14ac:dyDescent="0.25">
      <c r="B198" s="506" t="s">
        <v>300</v>
      </c>
      <c r="C198" s="501"/>
      <c r="D198" s="501"/>
      <c r="E198" s="501"/>
      <c r="F198" s="501"/>
      <c r="G198" s="501"/>
      <c r="H198" s="501"/>
      <c r="I198" s="501"/>
      <c r="J198" s="501"/>
      <c r="K198" s="501"/>
      <c r="L198" s="349"/>
      <c r="M198" s="349"/>
      <c r="N198" s="349"/>
      <c r="O198" s="349"/>
      <c r="P198" s="349"/>
      <c r="Q198" s="349"/>
      <c r="R198" s="349"/>
      <c r="S198" s="349"/>
      <c r="T198" s="349"/>
      <c r="U198" s="349"/>
      <c r="V198" s="502"/>
      <c r="W198" s="386"/>
      <c r="X198" s="503"/>
      <c r="Y198" s="503"/>
      <c r="Z198" s="503"/>
      <c r="AA198" s="503"/>
      <c r="AB198" s="503"/>
      <c r="AC198" s="504"/>
      <c r="AD198" s="504"/>
      <c r="AE198" s="504"/>
      <c r="AF198" s="504"/>
      <c r="AG198" s="505"/>
      <c r="AH198" s="505"/>
    </row>
    <row r="199" spans="2:34" ht="15" x14ac:dyDescent="0.25">
      <c r="B199" s="506" t="s">
        <v>301</v>
      </c>
      <c r="C199" s="501"/>
      <c r="D199" s="501"/>
      <c r="E199" s="501"/>
      <c r="F199" s="501"/>
      <c r="G199" s="501"/>
      <c r="H199" s="501"/>
      <c r="I199" s="501"/>
      <c r="J199" s="501"/>
      <c r="K199" s="501"/>
      <c r="L199" s="349"/>
      <c r="M199" s="349"/>
      <c r="N199" s="349"/>
      <c r="O199" s="349"/>
      <c r="P199" s="349"/>
      <c r="Q199" s="349"/>
      <c r="R199" s="349"/>
      <c r="S199" s="349"/>
      <c r="T199" s="349"/>
      <c r="U199" s="349"/>
      <c r="V199" s="502"/>
      <c r="W199" s="386"/>
      <c r="X199" s="503"/>
      <c r="Y199" s="503"/>
      <c r="Z199" s="503"/>
      <c r="AA199" s="503"/>
      <c r="AB199" s="503"/>
      <c r="AC199" s="504"/>
      <c r="AD199" s="504"/>
      <c r="AE199" s="504"/>
      <c r="AF199" s="504"/>
      <c r="AG199" s="505"/>
      <c r="AH199" s="505"/>
    </row>
    <row r="200" spans="2:34" ht="15" x14ac:dyDescent="0.25">
      <c r="B200" s="506" t="s">
        <v>302</v>
      </c>
      <c r="C200" s="501"/>
      <c r="D200" s="501"/>
      <c r="E200" s="501"/>
      <c r="F200" s="501"/>
      <c r="G200" s="501"/>
      <c r="H200" s="501"/>
      <c r="I200" s="501"/>
      <c r="J200" s="501"/>
      <c r="K200" s="501"/>
      <c r="L200" s="349"/>
      <c r="M200" s="349"/>
      <c r="N200" s="349"/>
      <c r="O200" s="349"/>
      <c r="P200" s="349"/>
      <c r="Q200" s="349"/>
      <c r="R200" s="349"/>
      <c r="S200" s="349"/>
      <c r="T200" s="349"/>
      <c r="U200" s="349"/>
      <c r="V200" s="502"/>
      <c r="W200" s="386"/>
      <c r="X200" s="503"/>
      <c r="Y200" s="503"/>
      <c r="Z200" s="503"/>
      <c r="AA200" s="503"/>
      <c r="AB200" s="503"/>
      <c r="AC200" s="504"/>
      <c r="AD200" s="504"/>
      <c r="AE200" s="504"/>
      <c r="AF200" s="504"/>
      <c r="AG200" s="505"/>
      <c r="AH200" s="505"/>
    </row>
    <row r="201" spans="2:34" ht="15" x14ac:dyDescent="0.25">
      <c r="B201" s="506" t="s">
        <v>303</v>
      </c>
      <c r="C201" s="501"/>
      <c r="D201" s="501"/>
      <c r="E201" s="501"/>
      <c r="F201" s="501"/>
      <c r="G201" s="501"/>
      <c r="H201" s="501"/>
      <c r="I201" s="501"/>
      <c r="J201" s="501"/>
      <c r="K201" s="501"/>
      <c r="L201" s="349"/>
      <c r="M201" s="349"/>
      <c r="N201" s="349"/>
      <c r="O201" s="349"/>
      <c r="P201" s="349"/>
      <c r="Q201" s="349"/>
      <c r="R201" s="349"/>
      <c r="S201" s="349"/>
      <c r="T201" s="349"/>
      <c r="U201" s="349"/>
      <c r="V201" s="502"/>
      <c r="W201" s="386"/>
      <c r="X201" s="503"/>
      <c r="Y201" s="503"/>
      <c r="Z201" s="503"/>
      <c r="AA201" s="503"/>
      <c r="AB201" s="503"/>
      <c r="AC201" s="504"/>
      <c r="AD201" s="504"/>
      <c r="AE201" s="504"/>
      <c r="AF201" s="504"/>
      <c r="AG201" s="505"/>
      <c r="AH201" s="505"/>
    </row>
    <row r="202" spans="2:34" ht="15" x14ac:dyDescent="0.25">
      <c r="B202" s="506" t="s">
        <v>304</v>
      </c>
      <c r="C202" s="501"/>
      <c r="D202" s="501"/>
      <c r="E202" s="501"/>
      <c r="F202" s="501"/>
      <c r="G202" s="501"/>
      <c r="H202" s="501"/>
      <c r="I202" s="501"/>
      <c r="J202" s="501"/>
      <c r="K202" s="501"/>
      <c r="L202" s="349"/>
      <c r="M202" s="349"/>
      <c r="N202" s="349"/>
      <c r="O202" s="349"/>
      <c r="P202" s="349"/>
      <c r="Q202" s="349"/>
      <c r="R202" s="349"/>
      <c r="S202" s="349"/>
      <c r="T202" s="349"/>
      <c r="U202" s="349"/>
      <c r="V202" s="502"/>
      <c r="W202" s="386"/>
      <c r="X202" s="503"/>
      <c r="Y202" s="503"/>
      <c r="Z202" s="503"/>
      <c r="AA202" s="503"/>
      <c r="AB202" s="503"/>
      <c r="AC202" s="504"/>
      <c r="AD202" s="504"/>
      <c r="AE202" s="504"/>
      <c r="AF202" s="504"/>
      <c r="AG202" s="505"/>
      <c r="AH202" s="505"/>
    </row>
    <row r="203" spans="2:34" ht="15" x14ac:dyDescent="0.25">
      <c r="B203" s="506" t="s">
        <v>305</v>
      </c>
      <c r="C203" s="501"/>
      <c r="D203" s="501"/>
      <c r="E203" s="501"/>
      <c r="F203" s="501"/>
      <c r="G203" s="501"/>
      <c r="H203" s="501"/>
      <c r="I203" s="501"/>
      <c r="J203" s="501"/>
      <c r="K203" s="501"/>
      <c r="L203" s="349"/>
      <c r="M203" s="349"/>
      <c r="N203" s="349"/>
      <c r="O203" s="349"/>
      <c r="P203" s="349"/>
      <c r="Q203" s="349"/>
      <c r="R203" s="349"/>
      <c r="S203" s="349"/>
      <c r="T203" s="349"/>
      <c r="U203" s="349"/>
      <c r="V203" s="502"/>
      <c r="W203" s="386"/>
      <c r="X203" s="503"/>
      <c r="Y203" s="503"/>
      <c r="Z203" s="503"/>
      <c r="AA203" s="503"/>
      <c r="AB203" s="503"/>
      <c r="AC203" s="504"/>
      <c r="AD203" s="504"/>
      <c r="AE203" s="504"/>
      <c r="AF203" s="504"/>
      <c r="AG203" s="505"/>
      <c r="AH203" s="505"/>
    </row>
    <row r="204" spans="2:34" ht="15" x14ac:dyDescent="0.25">
      <c r="B204" s="506" t="s">
        <v>306</v>
      </c>
      <c r="C204" s="501"/>
      <c r="D204" s="501"/>
      <c r="E204" s="501"/>
      <c r="F204" s="501"/>
      <c r="G204" s="501"/>
      <c r="H204" s="501"/>
      <c r="I204" s="501"/>
      <c r="J204" s="501"/>
      <c r="K204" s="501"/>
      <c r="L204" s="349"/>
      <c r="M204" s="349"/>
      <c r="N204" s="349"/>
      <c r="O204" s="349"/>
      <c r="P204" s="349"/>
      <c r="Q204" s="349"/>
      <c r="R204" s="349"/>
      <c r="S204" s="349"/>
      <c r="T204" s="349"/>
      <c r="U204" s="349"/>
      <c r="V204" s="502"/>
      <c r="W204" s="386"/>
      <c r="X204" s="503"/>
      <c r="Y204" s="503"/>
      <c r="Z204" s="503"/>
      <c r="AA204" s="503"/>
      <c r="AB204" s="503"/>
      <c r="AC204" s="504"/>
      <c r="AD204" s="504"/>
      <c r="AE204" s="504"/>
      <c r="AF204" s="504"/>
      <c r="AG204" s="505"/>
      <c r="AH204" s="505"/>
    </row>
    <row r="205" spans="2:34" ht="15" x14ac:dyDescent="0.25">
      <c r="B205" s="506" t="s">
        <v>307</v>
      </c>
      <c r="C205" s="501"/>
      <c r="D205" s="501"/>
      <c r="E205" s="501"/>
      <c r="F205" s="501"/>
      <c r="G205" s="501"/>
      <c r="H205" s="501"/>
      <c r="I205" s="501"/>
      <c r="J205" s="501"/>
      <c r="K205" s="501"/>
      <c r="L205" s="349"/>
      <c r="M205" s="349"/>
      <c r="N205" s="349"/>
      <c r="O205" s="349"/>
      <c r="P205" s="349"/>
      <c r="Q205" s="349"/>
      <c r="R205" s="349"/>
      <c r="S205" s="349"/>
      <c r="T205" s="349"/>
      <c r="U205" s="349"/>
      <c r="V205" s="502"/>
      <c r="W205" s="386"/>
      <c r="X205" s="503"/>
      <c r="Y205" s="503"/>
      <c r="Z205" s="503"/>
      <c r="AA205" s="503"/>
      <c r="AB205" s="503"/>
      <c r="AC205" s="504"/>
      <c r="AD205" s="504"/>
      <c r="AE205" s="504"/>
      <c r="AF205" s="504"/>
      <c r="AG205" s="505"/>
      <c r="AH205" s="505"/>
    </row>
    <row r="206" spans="2:34" ht="15" x14ac:dyDescent="0.25">
      <c r="B206" s="506" t="s">
        <v>308</v>
      </c>
      <c r="C206" s="501"/>
      <c r="D206" s="501"/>
      <c r="E206" s="501"/>
      <c r="F206" s="501"/>
      <c r="G206" s="501"/>
      <c r="H206" s="501"/>
      <c r="I206" s="501"/>
      <c r="J206" s="501"/>
      <c r="K206" s="501"/>
      <c r="L206" s="349"/>
      <c r="M206" s="349"/>
      <c r="N206" s="349"/>
      <c r="O206" s="349"/>
      <c r="P206" s="349"/>
      <c r="Q206" s="349"/>
      <c r="R206" s="349"/>
      <c r="S206" s="349"/>
      <c r="T206" s="349"/>
      <c r="U206" s="349"/>
      <c r="V206" s="502"/>
      <c r="W206" s="386"/>
      <c r="X206" s="503"/>
      <c r="Y206" s="503"/>
      <c r="Z206" s="503"/>
      <c r="AA206" s="503"/>
      <c r="AB206" s="503"/>
      <c r="AC206" s="504"/>
      <c r="AD206" s="504"/>
      <c r="AE206" s="504"/>
      <c r="AF206" s="504"/>
      <c r="AG206" s="505"/>
      <c r="AH206" s="505"/>
    </row>
    <row r="207" spans="2:34" ht="15" x14ac:dyDescent="0.25">
      <c r="B207" s="506" t="s">
        <v>309</v>
      </c>
      <c r="C207" s="501"/>
      <c r="D207" s="501"/>
      <c r="E207" s="501"/>
      <c r="F207" s="501"/>
      <c r="G207" s="501"/>
      <c r="H207" s="501"/>
      <c r="I207" s="501"/>
      <c r="J207" s="501"/>
      <c r="K207" s="501"/>
      <c r="L207" s="349"/>
      <c r="M207" s="349"/>
      <c r="N207" s="349"/>
      <c r="O207" s="349"/>
      <c r="P207" s="349"/>
      <c r="Q207" s="349"/>
      <c r="R207" s="349"/>
      <c r="S207" s="349"/>
      <c r="T207" s="349"/>
      <c r="U207" s="349"/>
      <c r="V207" s="502"/>
      <c r="W207" s="386"/>
      <c r="X207" s="503"/>
      <c r="Y207" s="503"/>
      <c r="Z207" s="503"/>
      <c r="AA207" s="503"/>
      <c r="AB207" s="503"/>
      <c r="AC207" s="504"/>
      <c r="AD207" s="504"/>
      <c r="AE207" s="504"/>
      <c r="AF207" s="504"/>
      <c r="AG207" s="505"/>
      <c r="AH207" s="505"/>
    </row>
    <row r="208" spans="2:34" ht="15" x14ac:dyDescent="0.25">
      <c r="B208" s="506" t="s">
        <v>310</v>
      </c>
      <c r="C208" s="501"/>
      <c r="D208" s="501"/>
      <c r="E208" s="501"/>
      <c r="F208" s="501"/>
      <c r="G208" s="501"/>
      <c r="H208" s="501"/>
      <c r="I208" s="501"/>
      <c r="J208" s="501"/>
      <c r="K208" s="501"/>
      <c r="L208" s="349"/>
      <c r="M208" s="349"/>
      <c r="N208" s="349"/>
      <c r="O208" s="349"/>
      <c r="P208" s="349"/>
      <c r="Q208" s="349"/>
      <c r="R208" s="349"/>
      <c r="S208" s="349"/>
      <c r="T208" s="349"/>
      <c r="U208" s="349"/>
      <c r="V208" s="502"/>
      <c r="W208" s="386"/>
      <c r="X208" s="503"/>
      <c r="Y208" s="503"/>
      <c r="Z208" s="503"/>
      <c r="AA208" s="503"/>
      <c r="AB208" s="503"/>
      <c r="AC208" s="504"/>
      <c r="AD208" s="504"/>
      <c r="AE208" s="504"/>
      <c r="AF208" s="504"/>
      <c r="AG208" s="505"/>
      <c r="AH208" s="505"/>
    </row>
    <row r="209" spans="2:34" ht="15" x14ac:dyDescent="0.25">
      <c r="B209" s="506" t="s">
        <v>311</v>
      </c>
      <c r="C209" s="501"/>
      <c r="D209" s="501"/>
      <c r="E209" s="501"/>
      <c r="F209" s="501"/>
      <c r="G209" s="501"/>
      <c r="H209" s="501"/>
      <c r="I209" s="501"/>
      <c r="J209" s="501"/>
      <c r="K209" s="501"/>
      <c r="L209" s="349"/>
      <c r="M209" s="349"/>
      <c r="N209" s="349"/>
      <c r="O209" s="349"/>
      <c r="P209" s="349"/>
      <c r="Q209" s="349"/>
      <c r="R209" s="349"/>
      <c r="S209" s="349"/>
      <c r="T209" s="349"/>
      <c r="U209" s="349"/>
      <c r="V209" s="502"/>
      <c r="W209" s="386"/>
      <c r="X209" s="503"/>
      <c r="Y209" s="503"/>
      <c r="Z209" s="503"/>
      <c r="AA209" s="503"/>
      <c r="AB209" s="503"/>
      <c r="AC209" s="504"/>
      <c r="AD209" s="504"/>
      <c r="AE209" s="504"/>
      <c r="AF209" s="504"/>
      <c r="AG209" s="505"/>
      <c r="AH209" s="505"/>
    </row>
    <row r="210" spans="2:34" ht="15" x14ac:dyDescent="0.25">
      <c r="B210" s="506" t="s">
        <v>312</v>
      </c>
      <c r="C210" s="501"/>
      <c r="D210" s="501"/>
      <c r="E210" s="501"/>
      <c r="F210" s="501"/>
      <c r="G210" s="501"/>
      <c r="H210" s="501"/>
      <c r="I210" s="501"/>
      <c r="J210" s="501"/>
      <c r="K210" s="501"/>
      <c r="L210" s="349"/>
      <c r="M210" s="349"/>
      <c r="N210" s="349"/>
      <c r="O210" s="349"/>
      <c r="P210" s="349"/>
      <c r="Q210" s="349"/>
      <c r="R210" s="349"/>
      <c r="S210" s="349"/>
      <c r="T210" s="349"/>
      <c r="U210" s="349"/>
      <c r="V210" s="502"/>
      <c r="W210" s="386"/>
      <c r="X210" s="503"/>
      <c r="Y210" s="503"/>
      <c r="Z210" s="503"/>
      <c r="AA210" s="503"/>
      <c r="AB210" s="503"/>
      <c r="AC210" s="504"/>
      <c r="AD210" s="504"/>
      <c r="AE210" s="504"/>
      <c r="AF210" s="504"/>
      <c r="AG210" s="505"/>
      <c r="AH210" s="505"/>
    </row>
    <row r="211" spans="2:34" ht="15" x14ac:dyDescent="0.25">
      <c r="B211" s="506" t="s">
        <v>313</v>
      </c>
      <c r="C211" s="501"/>
      <c r="D211" s="501"/>
      <c r="E211" s="501"/>
      <c r="F211" s="501"/>
      <c r="G211" s="501"/>
      <c r="H211" s="501"/>
      <c r="I211" s="501"/>
      <c r="J211" s="501"/>
      <c r="K211" s="501"/>
      <c r="L211" s="349"/>
      <c r="M211" s="349"/>
      <c r="N211" s="349"/>
      <c r="O211" s="349"/>
      <c r="P211" s="349"/>
      <c r="Q211" s="349"/>
      <c r="R211" s="349"/>
      <c r="S211" s="349"/>
      <c r="T211" s="349"/>
      <c r="U211" s="349"/>
      <c r="V211" s="502"/>
      <c r="W211" s="386"/>
      <c r="X211" s="503"/>
      <c r="Y211" s="503"/>
      <c r="Z211" s="503"/>
      <c r="AA211" s="503"/>
      <c r="AB211" s="503"/>
      <c r="AC211" s="504"/>
      <c r="AD211" s="504"/>
      <c r="AE211" s="504"/>
      <c r="AF211" s="504"/>
      <c r="AG211" s="505"/>
      <c r="AH211" s="505"/>
    </row>
    <row r="212" spans="2:34" ht="15" x14ac:dyDescent="0.25">
      <c r="B212" s="506" t="s">
        <v>314</v>
      </c>
      <c r="C212" s="501"/>
      <c r="D212" s="501"/>
      <c r="E212" s="501"/>
      <c r="F212" s="501"/>
      <c r="G212" s="501"/>
      <c r="H212" s="501"/>
      <c r="I212" s="501"/>
      <c r="J212" s="501"/>
      <c r="K212" s="501"/>
      <c r="L212" s="349"/>
      <c r="M212" s="349"/>
      <c r="N212" s="349"/>
      <c r="O212" s="349"/>
      <c r="P212" s="349"/>
      <c r="Q212" s="349"/>
      <c r="R212" s="349"/>
      <c r="S212" s="349"/>
      <c r="T212" s="349"/>
      <c r="U212" s="349"/>
      <c r="V212" s="502"/>
      <c r="W212" s="386"/>
      <c r="X212" s="503"/>
      <c r="Y212" s="503"/>
      <c r="Z212" s="503"/>
      <c r="AA212" s="503"/>
      <c r="AB212" s="503"/>
      <c r="AC212" s="504"/>
      <c r="AD212" s="504"/>
      <c r="AE212" s="504"/>
      <c r="AF212" s="504"/>
      <c r="AG212" s="505"/>
      <c r="AH212" s="505"/>
    </row>
    <row r="213" spans="2:34" ht="15" x14ac:dyDescent="0.25">
      <c r="B213" s="506" t="s">
        <v>315</v>
      </c>
      <c r="C213" s="501"/>
      <c r="D213" s="501"/>
      <c r="E213" s="501"/>
      <c r="F213" s="501"/>
      <c r="G213" s="501"/>
      <c r="H213" s="501"/>
      <c r="I213" s="501"/>
      <c r="J213" s="501"/>
      <c r="K213" s="501"/>
      <c r="L213" s="349"/>
      <c r="M213" s="349"/>
      <c r="N213" s="349"/>
      <c r="O213" s="349"/>
      <c r="P213" s="349"/>
      <c r="Q213" s="349"/>
      <c r="R213" s="349"/>
      <c r="S213" s="349"/>
      <c r="T213" s="349"/>
      <c r="U213" s="349"/>
      <c r="V213" s="502"/>
      <c r="W213" s="386"/>
      <c r="X213" s="503"/>
      <c r="Y213" s="503"/>
      <c r="Z213" s="503"/>
      <c r="AA213" s="503"/>
      <c r="AB213" s="503"/>
      <c r="AC213" s="504"/>
      <c r="AD213" s="504"/>
      <c r="AE213" s="504"/>
      <c r="AF213" s="504"/>
      <c r="AG213" s="505"/>
      <c r="AH213" s="505"/>
    </row>
    <row r="214" spans="2:34" ht="15" x14ac:dyDescent="0.25">
      <c r="B214" s="506" t="s">
        <v>316</v>
      </c>
      <c r="C214" s="501"/>
      <c r="D214" s="501"/>
      <c r="E214" s="501"/>
      <c r="F214" s="501"/>
      <c r="G214" s="501"/>
      <c r="H214" s="501"/>
      <c r="I214" s="501"/>
      <c r="J214" s="501"/>
      <c r="K214" s="501"/>
      <c r="L214" s="349"/>
      <c r="M214" s="349"/>
      <c r="N214" s="349"/>
      <c r="O214" s="349"/>
      <c r="P214" s="349"/>
      <c r="Q214" s="349"/>
      <c r="R214" s="349"/>
      <c r="S214" s="349"/>
      <c r="T214" s="349"/>
      <c r="U214" s="349"/>
      <c r="V214" s="502"/>
      <c r="W214" s="386"/>
      <c r="X214" s="503"/>
      <c r="Y214" s="503"/>
      <c r="Z214" s="503"/>
      <c r="AA214" s="503"/>
      <c r="AB214" s="503"/>
      <c r="AC214" s="504"/>
      <c r="AD214" s="504"/>
      <c r="AE214" s="504"/>
      <c r="AF214" s="504"/>
      <c r="AG214" s="505"/>
      <c r="AH214" s="505"/>
    </row>
    <row r="215" spans="2:34" ht="15" x14ac:dyDescent="0.25">
      <c r="B215" s="506" t="s">
        <v>317</v>
      </c>
      <c r="C215" s="501"/>
      <c r="D215" s="501"/>
      <c r="E215" s="501"/>
      <c r="F215" s="501"/>
      <c r="G215" s="501"/>
      <c r="H215" s="501"/>
      <c r="I215" s="501"/>
      <c r="J215" s="501"/>
      <c r="K215" s="501"/>
      <c r="L215" s="349"/>
      <c r="M215" s="349"/>
      <c r="N215" s="349"/>
      <c r="O215" s="349"/>
      <c r="P215" s="349"/>
      <c r="Q215" s="349"/>
      <c r="R215" s="349"/>
      <c r="S215" s="349"/>
      <c r="T215" s="349"/>
      <c r="U215" s="349"/>
      <c r="V215" s="502"/>
      <c r="W215" s="386"/>
      <c r="X215" s="503"/>
      <c r="Y215" s="503"/>
      <c r="Z215" s="503"/>
      <c r="AA215" s="503"/>
      <c r="AB215" s="503"/>
      <c r="AC215" s="504"/>
      <c r="AD215" s="504"/>
      <c r="AE215" s="504"/>
      <c r="AF215" s="504"/>
      <c r="AG215" s="505"/>
      <c r="AH215" s="505"/>
    </row>
    <row r="216" spans="2:34" ht="15" x14ac:dyDescent="0.25">
      <c r="B216" s="506" t="s">
        <v>318</v>
      </c>
      <c r="C216" s="501"/>
      <c r="D216" s="501"/>
      <c r="E216" s="501"/>
      <c r="F216" s="501"/>
      <c r="G216" s="501"/>
      <c r="H216" s="501"/>
      <c r="I216" s="501"/>
      <c r="J216" s="501"/>
      <c r="K216" s="501"/>
      <c r="L216" s="349"/>
      <c r="M216" s="349"/>
      <c r="N216" s="349"/>
      <c r="O216" s="349"/>
      <c r="P216" s="349"/>
      <c r="Q216" s="349"/>
      <c r="R216" s="349"/>
      <c r="S216" s="349"/>
      <c r="T216" s="349"/>
      <c r="U216" s="349"/>
      <c r="V216" s="502"/>
      <c r="W216" s="386"/>
      <c r="X216" s="503"/>
      <c r="Y216" s="503"/>
      <c r="Z216" s="503"/>
      <c r="AA216" s="503"/>
      <c r="AB216" s="503"/>
      <c r="AC216" s="504"/>
      <c r="AD216" s="504"/>
      <c r="AE216" s="504"/>
      <c r="AF216" s="504"/>
      <c r="AG216" s="505"/>
      <c r="AH216" s="505"/>
    </row>
    <row r="217" spans="2:34" ht="15" x14ac:dyDescent="0.25">
      <c r="B217" s="506" t="s">
        <v>319</v>
      </c>
      <c r="C217" s="501"/>
      <c r="D217" s="501"/>
      <c r="E217" s="501"/>
      <c r="F217" s="501"/>
      <c r="G217" s="501"/>
      <c r="H217" s="501"/>
      <c r="I217" s="501"/>
      <c r="J217" s="501"/>
      <c r="K217" s="501"/>
      <c r="L217" s="349"/>
      <c r="M217" s="349"/>
      <c r="N217" s="349"/>
      <c r="O217" s="349"/>
      <c r="P217" s="349"/>
      <c r="Q217" s="349"/>
      <c r="R217" s="349"/>
      <c r="S217" s="349"/>
      <c r="T217" s="349"/>
      <c r="U217" s="349"/>
      <c r="V217" s="502"/>
      <c r="W217" s="386"/>
      <c r="X217" s="503"/>
      <c r="Y217" s="503"/>
      <c r="Z217" s="503"/>
      <c r="AA217" s="503"/>
      <c r="AB217" s="503"/>
      <c r="AC217" s="504"/>
      <c r="AD217" s="504"/>
      <c r="AE217" s="504"/>
      <c r="AF217" s="504"/>
      <c r="AG217" s="505"/>
      <c r="AH217" s="505"/>
    </row>
    <row r="218" spans="2:34" ht="15" x14ac:dyDescent="0.25">
      <c r="B218" s="506" t="s">
        <v>320</v>
      </c>
      <c r="C218" s="501"/>
      <c r="D218" s="501"/>
      <c r="E218" s="501"/>
      <c r="F218" s="501"/>
      <c r="G218" s="501"/>
      <c r="H218" s="501"/>
      <c r="I218" s="501"/>
      <c r="J218" s="501"/>
      <c r="K218" s="501"/>
      <c r="L218" s="349"/>
      <c r="M218" s="349"/>
      <c r="N218" s="349"/>
      <c r="O218" s="349"/>
      <c r="P218" s="349"/>
      <c r="Q218" s="349"/>
      <c r="R218" s="349"/>
      <c r="S218" s="349"/>
      <c r="T218" s="349"/>
      <c r="U218" s="349"/>
      <c r="V218" s="502"/>
      <c r="W218" s="386"/>
      <c r="X218" s="503"/>
      <c r="Y218" s="503"/>
      <c r="Z218" s="503"/>
      <c r="AA218" s="503"/>
      <c r="AB218" s="503"/>
      <c r="AC218" s="504"/>
      <c r="AD218" s="504"/>
      <c r="AE218" s="504"/>
      <c r="AF218" s="504"/>
      <c r="AG218" s="505"/>
      <c r="AH218" s="505"/>
    </row>
    <row r="219" spans="2:34" ht="15" x14ac:dyDescent="0.25">
      <c r="B219" s="506" t="s">
        <v>321</v>
      </c>
      <c r="C219" s="501"/>
      <c r="D219" s="501"/>
      <c r="E219" s="501"/>
      <c r="F219" s="501"/>
      <c r="G219" s="501"/>
      <c r="H219" s="501"/>
      <c r="I219" s="501"/>
      <c r="J219" s="501"/>
      <c r="K219" s="501"/>
      <c r="L219" s="349"/>
      <c r="M219" s="349"/>
      <c r="N219" s="349"/>
      <c r="O219" s="349"/>
      <c r="P219" s="349"/>
      <c r="Q219" s="349"/>
      <c r="R219" s="349"/>
      <c r="S219" s="349"/>
      <c r="T219" s="349"/>
      <c r="U219" s="349"/>
      <c r="V219" s="502"/>
      <c r="W219" s="386"/>
      <c r="X219" s="503"/>
      <c r="Y219" s="503"/>
      <c r="Z219" s="503"/>
      <c r="AA219" s="503"/>
      <c r="AB219" s="503"/>
      <c r="AC219" s="504"/>
      <c r="AD219" s="504"/>
      <c r="AE219" s="504"/>
      <c r="AF219" s="504"/>
      <c r="AG219" s="505"/>
      <c r="AH219" s="505"/>
    </row>
    <row r="220" spans="2:34" ht="15" x14ac:dyDescent="0.25">
      <c r="B220" s="506" t="s">
        <v>322</v>
      </c>
      <c r="C220" s="501"/>
      <c r="D220" s="501"/>
      <c r="E220" s="501"/>
      <c r="F220" s="501"/>
      <c r="G220" s="501"/>
      <c r="H220" s="501"/>
      <c r="I220" s="501"/>
      <c r="J220" s="501"/>
      <c r="K220" s="501"/>
      <c r="L220" s="349"/>
      <c r="M220" s="349"/>
      <c r="N220" s="349"/>
      <c r="O220" s="349"/>
      <c r="P220" s="349"/>
      <c r="Q220" s="349"/>
      <c r="R220" s="349"/>
      <c r="S220" s="349"/>
      <c r="T220" s="349"/>
      <c r="U220" s="349"/>
      <c r="V220" s="502"/>
      <c r="W220" s="386"/>
      <c r="X220" s="503"/>
      <c r="Y220" s="503"/>
      <c r="Z220" s="503"/>
      <c r="AA220" s="503"/>
      <c r="AB220" s="503"/>
      <c r="AC220" s="504"/>
      <c r="AD220" s="504"/>
      <c r="AE220" s="504"/>
      <c r="AF220" s="504"/>
      <c r="AG220" s="505"/>
      <c r="AH220" s="505"/>
    </row>
    <row r="221" spans="2:34" ht="15" x14ac:dyDescent="0.25">
      <c r="B221" s="506" t="s">
        <v>323</v>
      </c>
      <c r="C221" s="501"/>
      <c r="D221" s="501"/>
      <c r="E221" s="501"/>
      <c r="F221" s="501"/>
      <c r="G221" s="501"/>
      <c r="H221" s="501"/>
      <c r="I221" s="501"/>
      <c r="J221" s="501"/>
      <c r="K221" s="501"/>
      <c r="L221" s="349"/>
      <c r="M221" s="349"/>
      <c r="N221" s="349"/>
      <c r="O221" s="349"/>
      <c r="P221" s="349"/>
      <c r="Q221" s="349"/>
      <c r="R221" s="349"/>
      <c r="S221" s="349"/>
      <c r="T221" s="349"/>
      <c r="U221" s="349"/>
      <c r="V221" s="502"/>
      <c r="W221" s="386"/>
      <c r="X221" s="503"/>
      <c r="Y221" s="503"/>
      <c r="Z221" s="503"/>
      <c r="AA221" s="503"/>
      <c r="AB221" s="503"/>
      <c r="AC221" s="504"/>
      <c r="AD221" s="504"/>
      <c r="AE221" s="504"/>
      <c r="AF221" s="504"/>
      <c r="AG221" s="505"/>
      <c r="AH221" s="505"/>
    </row>
    <row r="222" spans="2:34" ht="15" x14ac:dyDescent="0.25">
      <c r="B222" s="506" t="s">
        <v>324</v>
      </c>
      <c r="C222" s="501"/>
      <c r="D222" s="501"/>
      <c r="E222" s="501"/>
      <c r="F222" s="501"/>
      <c r="G222" s="501"/>
      <c r="H222" s="501"/>
      <c r="I222" s="501"/>
      <c r="J222" s="501"/>
      <c r="K222" s="501"/>
      <c r="L222" s="349"/>
      <c r="M222" s="349"/>
      <c r="N222" s="349"/>
      <c r="O222" s="349"/>
      <c r="P222" s="349"/>
      <c r="Q222" s="349"/>
      <c r="R222" s="349"/>
      <c r="S222" s="349"/>
      <c r="T222" s="349"/>
      <c r="U222" s="349"/>
      <c r="V222" s="502"/>
      <c r="W222" s="386"/>
      <c r="X222" s="503"/>
      <c r="Y222" s="503"/>
      <c r="Z222" s="503"/>
      <c r="AA222" s="503"/>
      <c r="AB222" s="503"/>
      <c r="AC222" s="504"/>
      <c r="AD222" s="504"/>
      <c r="AE222" s="504"/>
      <c r="AF222" s="504"/>
      <c r="AG222" s="505"/>
      <c r="AH222" s="505"/>
    </row>
    <row r="223" spans="2:34" ht="15" x14ac:dyDescent="0.25">
      <c r="B223" s="506" t="s">
        <v>325</v>
      </c>
      <c r="C223" s="501"/>
      <c r="D223" s="501"/>
      <c r="E223" s="501"/>
      <c r="F223" s="501"/>
      <c r="G223" s="501"/>
      <c r="H223" s="501"/>
      <c r="I223" s="501"/>
      <c r="J223" s="501"/>
      <c r="K223" s="501"/>
      <c r="L223" s="349"/>
      <c r="M223" s="349"/>
      <c r="N223" s="349"/>
      <c r="O223" s="349"/>
      <c r="P223" s="349"/>
      <c r="Q223" s="349"/>
      <c r="R223" s="349"/>
      <c r="S223" s="349"/>
      <c r="T223" s="349"/>
      <c r="U223" s="349"/>
      <c r="V223" s="502"/>
      <c r="W223" s="386"/>
      <c r="X223" s="503"/>
      <c r="Y223" s="503"/>
      <c r="Z223" s="503"/>
      <c r="AA223" s="503"/>
      <c r="AB223" s="503"/>
      <c r="AC223" s="504"/>
      <c r="AD223" s="504"/>
      <c r="AE223" s="504"/>
      <c r="AF223" s="504"/>
      <c r="AG223" s="505"/>
      <c r="AH223" s="505"/>
    </row>
    <row r="224" spans="2:34" ht="15" x14ac:dyDescent="0.25">
      <c r="B224" s="506" t="s">
        <v>326</v>
      </c>
      <c r="C224" s="501"/>
      <c r="D224" s="501"/>
      <c r="E224" s="501"/>
      <c r="F224" s="501"/>
      <c r="G224" s="501"/>
      <c r="H224" s="501"/>
      <c r="I224" s="501"/>
      <c r="J224" s="501"/>
      <c r="K224" s="501"/>
      <c r="L224" s="349"/>
      <c r="M224" s="349"/>
      <c r="N224" s="349"/>
      <c r="O224" s="349"/>
      <c r="P224" s="349"/>
      <c r="Q224" s="349"/>
      <c r="R224" s="349"/>
      <c r="S224" s="349"/>
      <c r="T224" s="349"/>
      <c r="U224" s="349"/>
      <c r="V224" s="502"/>
      <c r="W224" s="386"/>
      <c r="X224" s="503"/>
      <c r="Y224" s="503"/>
      <c r="Z224" s="503"/>
      <c r="AA224" s="503"/>
      <c r="AB224" s="503"/>
      <c r="AC224" s="504"/>
      <c r="AD224" s="504"/>
      <c r="AE224" s="504"/>
      <c r="AF224" s="504"/>
      <c r="AG224" s="505"/>
      <c r="AH224" s="505"/>
    </row>
    <row r="225" spans="2:34" ht="15" x14ac:dyDescent="0.25">
      <c r="B225" s="506" t="s">
        <v>327</v>
      </c>
      <c r="C225" s="501"/>
      <c r="D225" s="501"/>
      <c r="E225" s="501"/>
      <c r="F225" s="501"/>
      <c r="G225" s="501"/>
      <c r="H225" s="501"/>
      <c r="I225" s="501"/>
      <c r="J225" s="501"/>
      <c r="K225" s="501"/>
      <c r="L225" s="349"/>
      <c r="M225" s="349"/>
      <c r="N225" s="349"/>
      <c r="O225" s="349"/>
      <c r="P225" s="349"/>
      <c r="Q225" s="349"/>
      <c r="R225" s="349"/>
      <c r="S225" s="349"/>
      <c r="T225" s="349"/>
      <c r="U225" s="349"/>
      <c r="V225" s="502"/>
      <c r="W225" s="386"/>
      <c r="X225" s="503"/>
      <c r="Y225" s="503"/>
      <c r="Z225" s="503"/>
      <c r="AA225" s="503"/>
      <c r="AB225" s="503"/>
      <c r="AC225" s="504"/>
      <c r="AD225" s="504"/>
      <c r="AE225" s="504"/>
      <c r="AF225" s="504"/>
      <c r="AG225" s="505"/>
      <c r="AH225" s="505"/>
    </row>
    <row r="226" spans="2:34" ht="15" x14ac:dyDescent="0.25">
      <c r="B226" s="506" t="s">
        <v>328</v>
      </c>
      <c r="C226" s="501"/>
      <c r="D226" s="501"/>
      <c r="E226" s="501"/>
      <c r="F226" s="501"/>
      <c r="G226" s="501"/>
      <c r="H226" s="501"/>
      <c r="I226" s="501"/>
      <c r="J226" s="501"/>
      <c r="K226" s="501"/>
      <c r="L226" s="349"/>
      <c r="M226" s="349"/>
      <c r="N226" s="349"/>
      <c r="O226" s="349"/>
      <c r="P226" s="349"/>
      <c r="Q226" s="349"/>
      <c r="R226" s="349"/>
      <c r="S226" s="349"/>
      <c r="T226" s="349"/>
      <c r="U226" s="349"/>
      <c r="V226" s="502"/>
      <c r="W226" s="386"/>
      <c r="X226" s="503"/>
      <c r="Y226" s="503"/>
      <c r="Z226" s="503"/>
      <c r="AA226" s="503"/>
      <c r="AB226" s="503"/>
      <c r="AC226" s="504"/>
      <c r="AD226" s="504"/>
      <c r="AE226" s="504"/>
      <c r="AF226" s="504"/>
      <c r="AG226" s="505"/>
      <c r="AH226" s="505"/>
    </row>
    <row r="227" spans="2:34" ht="15" x14ac:dyDescent="0.25">
      <c r="B227" s="506" t="s">
        <v>329</v>
      </c>
      <c r="C227" s="501"/>
      <c r="D227" s="501"/>
      <c r="E227" s="501"/>
      <c r="F227" s="501"/>
      <c r="G227" s="501"/>
      <c r="H227" s="501"/>
      <c r="I227" s="501"/>
      <c r="J227" s="501"/>
      <c r="K227" s="501"/>
      <c r="L227" s="349"/>
      <c r="M227" s="349"/>
      <c r="N227" s="349"/>
      <c r="O227" s="349"/>
      <c r="P227" s="349"/>
      <c r="Q227" s="349"/>
      <c r="R227" s="349"/>
      <c r="S227" s="349"/>
      <c r="T227" s="349"/>
      <c r="U227" s="349"/>
      <c r="V227" s="502"/>
      <c r="W227" s="386"/>
      <c r="X227" s="503"/>
      <c r="Y227" s="503"/>
      <c r="Z227" s="503"/>
      <c r="AA227" s="503"/>
      <c r="AB227" s="503"/>
      <c r="AC227" s="504"/>
      <c r="AD227" s="504"/>
      <c r="AE227" s="504"/>
      <c r="AF227" s="504"/>
      <c r="AG227" s="505"/>
      <c r="AH227" s="505"/>
    </row>
    <row r="228" spans="2:34" ht="15" x14ac:dyDescent="0.25">
      <c r="B228" s="506" t="s">
        <v>330</v>
      </c>
      <c r="C228" s="501"/>
      <c r="D228" s="501"/>
      <c r="E228" s="501"/>
      <c r="F228" s="501"/>
      <c r="G228" s="501"/>
      <c r="H228" s="501"/>
      <c r="I228" s="501"/>
      <c r="J228" s="501"/>
      <c r="K228" s="501"/>
      <c r="L228" s="349"/>
      <c r="M228" s="349"/>
      <c r="N228" s="349"/>
      <c r="O228" s="349"/>
      <c r="P228" s="349"/>
      <c r="Q228" s="349"/>
      <c r="R228" s="349"/>
      <c r="S228" s="349"/>
      <c r="T228" s="349"/>
      <c r="U228" s="349"/>
      <c r="V228" s="502"/>
      <c r="W228" s="386"/>
      <c r="X228" s="503"/>
      <c r="Y228" s="503"/>
      <c r="Z228" s="503"/>
      <c r="AA228" s="503"/>
      <c r="AB228" s="503"/>
      <c r="AC228" s="504"/>
      <c r="AD228" s="504"/>
      <c r="AE228" s="504"/>
      <c r="AF228" s="504"/>
      <c r="AG228" s="505"/>
      <c r="AH228" s="505"/>
    </row>
    <row r="229" spans="2:34" ht="15" x14ac:dyDescent="0.25">
      <c r="B229" s="506" t="s">
        <v>331</v>
      </c>
      <c r="C229" s="501"/>
      <c r="D229" s="501"/>
      <c r="E229" s="501"/>
      <c r="F229" s="501"/>
      <c r="G229" s="501"/>
      <c r="H229" s="501"/>
      <c r="I229" s="501"/>
      <c r="J229" s="501"/>
      <c r="K229" s="501"/>
      <c r="L229" s="349"/>
      <c r="M229" s="349"/>
      <c r="N229" s="349"/>
      <c r="O229" s="349"/>
      <c r="P229" s="349"/>
      <c r="Q229" s="349"/>
      <c r="R229" s="349"/>
      <c r="S229" s="349"/>
      <c r="T229" s="349"/>
      <c r="U229" s="349"/>
      <c r="V229" s="502"/>
      <c r="W229" s="386"/>
      <c r="X229" s="503"/>
      <c r="Y229" s="503"/>
      <c r="Z229" s="503"/>
      <c r="AA229" s="503"/>
      <c r="AB229" s="503"/>
      <c r="AC229" s="504"/>
      <c r="AD229" s="504"/>
      <c r="AE229" s="504"/>
      <c r="AF229" s="504"/>
      <c r="AG229" s="505"/>
      <c r="AH229" s="505"/>
    </row>
    <row r="230" spans="2:34" ht="15" x14ac:dyDescent="0.25">
      <c r="B230" s="506" t="s">
        <v>332</v>
      </c>
      <c r="C230" s="501"/>
      <c r="D230" s="501"/>
      <c r="E230" s="501"/>
      <c r="F230" s="501"/>
      <c r="G230" s="501"/>
      <c r="H230" s="501"/>
      <c r="I230" s="501"/>
      <c r="J230" s="501"/>
      <c r="K230" s="501"/>
      <c r="L230" s="349"/>
      <c r="M230" s="349"/>
      <c r="N230" s="349"/>
      <c r="O230" s="349"/>
      <c r="P230" s="349"/>
      <c r="Q230" s="349"/>
      <c r="R230" s="349"/>
      <c r="S230" s="349"/>
      <c r="T230" s="349"/>
      <c r="U230" s="349"/>
      <c r="V230" s="502"/>
      <c r="W230" s="386"/>
      <c r="X230" s="503"/>
      <c r="Y230" s="503"/>
      <c r="Z230" s="503"/>
      <c r="AA230" s="503"/>
      <c r="AB230" s="503"/>
      <c r="AC230" s="504"/>
      <c r="AD230" s="504"/>
      <c r="AE230" s="504"/>
      <c r="AF230" s="504"/>
      <c r="AG230" s="505"/>
      <c r="AH230" s="505"/>
    </row>
    <row r="231" spans="2:34" ht="15" x14ac:dyDescent="0.25">
      <c r="B231" s="506" t="s">
        <v>333</v>
      </c>
      <c r="C231" s="501"/>
      <c r="D231" s="501"/>
      <c r="E231" s="501"/>
      <c r="F231" s="501"/>
      <c r="G231" s="501"/>
      <c r="H231" s="501"/>
      <c r="I231" s="501"/>
      <c r="J231" s="501"/>
      <c r="K231" s="501"/>
      <c r="L231" s="349"/>
      <c r="M231" s="349"/>
      <c r="N231" s="349"/>
      <c r="O231" s="349"/>
      <c r="P231" s="349"/>
      <c r="Q231" s="349"/>
      <c r="R231" s="349"/>
      <c r="S231" s="349"/>
      <c r="T231" s="349"/>
      <c r="U231" s="349"/>
      <c r="V231" s="502"/>
      <c r="W231" s="386"/>
      <c r="X231" s="503"/>
      <c r="Y231" s="503"/>
      <c r="Z231" s="503"/>
      <c r="AA231" s="503"/>
      <c r="AB231" s="503"/>
      <c r="AC231" s="504"/>
      <c r="AD231" s="504"/>
      <c r="AE231" s="504"/>
      <c r="AF231" s="504"/>
      <c r="AG231" s="505"/>
      <c r="AH231" s="505"/>
    </row>
    <row r="232" spans="2:34" ht="15" x14ac:dyDescent="0.25">
      <c r="B232" s="506" t="s">
        <v>334</v>
      </c>
      <c r="C232" s="501"/>
      <c r="D232" s="501"/>
      <c r="E232" s="501"/>
      <c r="F232" s="501"/>
      <c r="G232" s="501"/>
      <c r="H232" s="501"/>
      <c r="I232" s="501"/>
      <c r="J232" s="501"/>
      <c r="K232" s="501"/>
      <c r="L232" s="349"/>
      <c r="M232" s="349"/>
      <c r="N232" s="349"/>
      <c r="O232" s="349"/>
      <c r="P232" s="349"/>
      <c r="Q232" s="349"/>
      <c r="R232" s="349"/>
      <c r="S232" s="349"/>
      <c r="T232" s="349"/>
      <c r="U232" s="349"/>
      <c r="V232" s="502"/>
      <c r="W232" s="386"/>
      <c r="X232" s="503"/>
      <c r="Y232" s="503"/>
      <c r="Z232" s="503"/>
      <c r="AA232" s="503"/>
      <c r="AB232" s="503"/>
      <c r="AC232" s="504"/>
      <c r="AD232" s="504"/>
      <c r="AE232" s="504"/>
      <c r="AF232" s="504"/>
      <c r="AG232" s="505"/>
      <c r="AH232" s="505"/>
    </row>
    <row r="233" spans="2:34" ht="15" x14ac:dyDescent="0.25">
      <c r="B233" s="506" t="s">
        <v>335</v>
      </c>
      <c r="C233" s="501"/>
      <c r="D233" s="501"/>
      <c r="E233" s="501"/>
      <c r="F233" s="501"/>
      <c r="G233" s="501"/>
      <c r="H233" s="501"/>
      <c r="I233" s="501"/>
      <c r="J233" s="501"/>
      <c r="K233" s="501"/>
      <c r="L233" s="349"/>
      <c r="M233" s="349"/>
      <c r="N233" s="349"/>
      <c r="O233" s="349"/>
      <c r="P233" s="349"/>
      <c r="Q233" s="349"/>
      <c r="R233" s="349"/>
      <c r="S233" s="349"/>
      <c r="T233" s="349"/>
      <c r="U233" s="349"/>
      <c r="V233" s="502"/>
      <c r="W233" s="386"/>
      <c r="X233" s="503"/>
      <c r="Y233" s="503"/>
      <c r="Z233" s="503"/>
      <c r="AA233" s="503"/>
      <c r="AB233" s="503"/>
      <c r="AC233" s="504"/>
      <c r="AD233" s="504"/>
      <c r="AE233" s="504"/>
      <c r="AF233" s="504"/>
      <c r="AG233" s="505"/>
      <c r="AH233" s="505"/>
    </row>
    <row r="234" spans="2:34" ht="15" x14ac:dyDescent="0.25">
      <c r="B234" s="506" t="s">
        <v>336</v>
      </c>
      <c r="C234" s="501"/>
      <c r="D234" s="501"/>
      <c r="E234" s="501"/>
      <c r="F234" s="501"/>
      <c r="G234" s="501"/>
      <c r="H234" s="501"/>
      <c r="I234" s="501"/>
      <c r="J234" s="501"/>
      <c r="K234" s="501"/>
      <c r="L234" s="349"/>
      <c r="M234" s="349"/>
      <c r="N234" s="349"/>
      <c r="O234" s="349"/>
      <c r="P234" s="349"/>
      <c r="Q234" s="349"/>
      <c r="R234" s="349"/>
      <c r="S234" s="349"/>
      <c r="T234" s="349"/>
      <c r="U234" s="349"/>
      <c r="V234" s="502"/>
      <c r="W234" s="386"/>
      <c r="X234" s="503"/>
      <c r="Y234" s="503"/>
      <c r="Z234" s="503"/>
      <c r="AA234" s="503"/>
      <c r="AB234" s="503"/>
      <c r="AC234" s="504"/>
      <c r="AD234" s="504"/>
      <c r="AE234" s="504"/>
      <c r="AF234" s="504"/>
      <c r="AG234" s="505"/>
      <c r="AH234" s="505"/>
    </row>
    <row r="235" spans="2:34" ht="15" x14ac:dyDescent="0.25">
      <c r="B235" s="506" t="s">
        <v>337</v>
      </c>
      <c r="C235" s="501"/>
      <c r="D235" s="501"/>
      <c r="E235" s="501"/>
      <c r="F235" s="501"/>
      <c r="G235" s="501"/>
      <c r="H235" s="501"/>
      <c r="I235" s="501"/>
      <c r="J235" s="501"/>
      <c r="K235" s="501"/>
      <c r="L235" s="349"/>
      <c r="M235" s="349"/>
      <c r="N235" s="349"/>
      <c r="O235" s="349"/>
      <c r="P235" s="349"/>
      <c r="Q235" s="349"/>
      <c r="R235" s="349"/>
      <c r="S235" s="349"/>
      <c r="T235" s="349"/>
      <c r="U235" s="349"/>
      <c r="V235" s="502"/>
      <c r="W235" s="386"/>
      <c r="X235" s="503"/>
      <c r="Y235" s="503"/>
      <c r="Z235" s="503"/>
      <c r="AA235" s="503"/>
      <c r="AB235" s="503"/>
      <c r="AC235" s="504"/>
      <c r="AD235" s="504"/>
      <c r="AE235" s="504"/>
      <c r="AF235" s="504"/>
      <c r="AG235" s="505"/>
      <c r="AH235" s="505"/>
    </row>
    <row r="236" spans="2:34" ht="15" x14ac:dyDescent="0.25">
      <c r="B236" s="506" t="s">
        <v>338</v>
      </c>
      <c r="C236" s="501"/>
      <c r="D236" s="501"/>
      <c r="E236" s="501"/>
      <c r="F236" s="501"/>
      <c r="G236" s="501"/>
      <c r="H236" s="501"/>
      <c r="I236" s="501"/>
      <c r="J236" s="501"/>
      <c r="K236" s="501"/>
      <c r="L236" s="349"/>
      <c r="M236" s="349"/>
      <c r="N236" s="349"/>
      <c r="O236" s="349"/>
      <c r="P236" s="349"/>
      <c r="Q236" s="349"/>
      <c r="R236" s="349"/>
      <c r="S236" s="349"/>
      <c r="T236" s="349"/>
      <c r="U236" s="349"/>
      <c r="V236" s="502"/>
      <c r="W236" s="386"/>
      <c r="X236" s="503"/>
      <c r="Y236" s="503"/>
      <c r="Z236" s="503"/>
      <c r="AA236" s="503"/>
      <c r="AB236" s="503"/>
      <c r="AC236" s="504"/>
      <c r="AD236" s="504"/>
      <c r="AE236" s="504"/>
      <c r="AF236" s="504"/>
      <c r="AG236" s="505"/>
      <c r="AH236" s="505"/>
    </row>
    <row r="237" spans="2:34" ht="15" x14ac:dyDescent="0.25">
      <c r="B237" s="506" t="s">
        <v>339</v>
      </c>
      <c r="C237" s="501"/>
      <c r="D237" s="501"/>
      <c r="E237" s="501"/>
      <c r="F237" s="501"/>
      <c r="G237" s="501"/>
      <c r="H237" s="501"/>
      <c r="I237" s="501"/>
      <c r="J237" s="501"/>
      <c r="K237" s="501"/>
      <c r="L237" s="349"/>
      <c r="M237" s="349"/>
      <c r="N237" s="349"/>
      <c r="O237" s="349"/>
      <c r="P237" s="349"/>
      <c r="Q237" s="349"/>
      <c r="R237" s="349"/>
      <c r="S237" s="349"/>
      <c r="T237" s="349"/>
      <c r="U237" s="349"/>
      <c r="V237" s="502"/>
      <c r="W237" s="386"/>
      <c r="X237" s="503"/>
      <c r="Y237" s="503"/>
      <c r="Z237" s="503"/>
      <c r="AA237" s="503"/>
      <c r="AB237" s="503"/>
      <c r="AC237" s="504"/>
      <c r="AD237" s="504"/>
      <c r="AE237" s="504"/>
      <c r="AF237" s="504"/>
      <c r="AG237" s="505"/>
      <c r="AH237" s="505"/>
    </row>
    <row r="238" spans="2:34" ht="15" x14ac:dyDescent="0.25">
      <c r="B238" s="506" t="s">
        <v>340</v>
      </c>
      <c r="C238" s="501"/>
      <c r="D238" s="501"/>
      <c r="E238" s="501"/>
      <c r="F238" s="501"/>
      <c r="G238" s="501"/>
      <c r="H238" s="501"/>
      <c r="I238" s="501"/>
      <c r="J238" s="501"/>
      <c r="K238" s="501"/>
      <c r="L238" s="349"/>
      <c r="M238" s="349"/>
      <c r="N238" s="349"/>
      <c r="O238" s="349"/>
      <c r="P238" s="349"/>
      <c r="Q238" s="349"/>
      <c r="R238" s="349"/>
      <c r="S238" s="349"/>
      <c r="T238" s="349"/>
      <c r="U238" s="349"/>
      <c r="V238" s="502"/>
      <c r="W238" s="386"/>
      <c r="X238" s="503"/>
      <c r="Y238" s="503"/>
      <c r="Z238" s="503"/>
      <c r="AA238" s="503"/>
      <c r="AB238" s="503"/>
      <c r="AC238" s="504"/>
      <c r="AD238" s="504"/>
      <c r="AE238" s="504"/>
      <c r="AF238" s="504"/>
      <c r="AG238" s="505"/>
      <c r="AH238" s="505"/>
    </row>
    <row r="239" spans="2:34" ht="15" x14ac:dyDescent="0.25">
      <c r="B239" s="506" t="s">
        <v>341</v>
      </c>
      <c r="C239" s="501"/>
      <c r="D239" s="501"/>
      <c r="E239" s="501"/>
      <c r="F239" s="501"/>
      <c r="G239" s="501"/>
      <c r="H239" s="501"/>
      <c r="I239" s="501"/>
      <c r="J239" s="501"/>
      <c r="K239" s="501"/>
      <c r="L239" s="349"/>
      <c r="M239" s="349"/>
      <c r="N239" s="349"/>
      <c r="O239" s="349"/>
      <c r="P239" s="349"/>
      <c r="Q239" s="349"/>
      <c r="R239" s="349"/>
      <c r="S239" s="349"/>
      <c r="T239" s="349"/>
      <c r="U239" s="349"/>
      <c r="V239" s="502"/>
      <c r="W239" s="386"/>
      <c r="X239" s="503"/>
      <c r="Y239" s="503"/>
      <c r="Z239" s="503"/>
      <c r="AA239" s="503"/>
      <c r="AB239" s="503"/>
      <c r="AC239" s="504"/>
      <c r="AD239" s="504"/>
      <c r="AE239" s="504"/>
      <c r="AF239" s="504"/>
      <c r="AG239" s="505"/>
      <c r="AH239" s="505"/>
    </row>
    <row r="240" spans="2:34" ht="15" x14ac:dyDescent="0.25">
      <c r="B240" s="506" t="s">
        <v>342</v>
      </c>
      <c r="C240" s="501"/>
      <c r="D240" s="501"/>
      <c r="E240" s="501"/>
      <c r="F240" s="501"/>
      <c r="G240" s="501"/>
      <c r="H240" s="501"/>
      <c r="I240" s="501"/>
      <c r="J240" s="501"/>
      <c r="K240" s="501"/>
      <c r="L240" s="349"/>
      <c r="M240" s="349"/>
      <c r="N240" s="349"/>
      <c r="O240" s="349"/>
      <c r="P240" s="349"/>
      <c r="Q240" s="349"/>
      <c r="R240" s="349"/>
      <c r="S240" s="349"/>
      <c r="T240" s="349"/>
      <c r="U240" s="349"/>
      <c r="V240" s="502"/>
      <c r="W240" s="386"/>
      <c r="X240" s="503"/>
      <c r="Y240" s="503"/>
      <c r="Z240" s="503"/>
      <c r="AA240" s="503"/>
      <c r="AB240" s="503"/>
      <c r="AC240" s="504"/>
      <c r="AD240" s="504"/>
      <c r="AE240" s="504"/>
      <c r="AF240" s="504"/>
      <c r="AG240" s="505"/>
      <c r="AH240" s="505"/>
    </row>
    <row r="241" spans="2:34" ht="15" x14ac:dyDescent="0.25">
      <c r="B241" s="506" t="s">
        <v>343</v>
      </c>
      <c r="C241" s="501"/>
      <c r="D241" s="501"/>
      <c r="E241" s="501"/>
      <c r="F241" s="501"/>
      <c r="G241" s="501"/>
      <c r="H241" s="501"/>
      <c r="I241" s="501"/>
      <c r="J241" s="501"/>
      <c r="K241" s="501"/>
      <c r="L241" s="349"/>
      <c r="M241" s="349"/>
      <c r="N241" s="349"/>
      <c r="O241" s="349"/>
      <c r="P241" s="349"/>
      <c r="Q241" s="349"/>
      <c r="R241" s="349"/>
      <c r="S241" s="349"/>
      <c r="T241" s="349"/>
      <c r="U241" s="349"/>
      <c r="V241" s="502"/>
      <c r="W241" s="386"/>
      <c r="X241" s="503"/>
      <c r="Y241" s="503"/>
      <c r="Z241" s="503"/>
      <c r="AA241" s="503"/>
      <c r="AB241" s="503"/>
      <c r="AC241" s="504"/>
      <c r="AD241" s="504"/>
      <c r="AE241" s="504"/>
      <c r="AF241" s="504"/>
      <c r="AG241" s="505"/>
      <c r="AH241" s="505"/>
    </row>
    <row r="242" spans="2:34" ht="15" x14ac:dyDescent="0.25">
      <c r="B242" s="506" t="s">
        <v>344</v>
      </c>
      <c r="C242" s="501"/>
      <c r="D242" s="501"/>
      <c r="E242" s="501"/>
      <c r="F242" s="501"/>
      <c r="G242" s="501"/>
      <c r="H242" s="501"/>
      <c r="I242" s="501"/>
      <c r="J242" s="501"/>
      <c r="K242" s="501"/>
      <c r="L242" s="349"/>
      <c r="M242" s="349"/>
      <c r="N242" s="349"/>
      <c r="O242" s="349"/>
      <c r="P242" s="349"/>
      <c r="Q242" s="349"/>
      <c r="R242" s="349"/>
      <c r="S242" s="349"/>
      <c r="T242" s="349"/>
      <c r="U242" s="349"/>
      <c r="V242" s="502"/>
      <c r="W242" s="386"/>
      <c r="X242" s="503"/>
      <c r="Y242" s="503"/>
      <c r="Z242" s="503"/>
      <c r="AA242" s="503"/>
      <c r="AB242" s="503"/>
      <c r="AC242" s="504"/>
      <c r="AD242" s="504"/>
      <c r="AE242" s="504"/>
      <c r="AF242" s="504"/>
      <c r="AG242" s="505"/>
      <c r="AH242" s="505"/>
    </row>
    <row r="243" spans="2:34" ht="15" x14ac:dyDescent="0.25">
      <c r="B243" s="506" t="s">
        <v>345</v>
      </c>
      <c r="C243" s="501"/>
      <c r="D243" s="501"/>
      <c r="E243" s="501"/>
      <c r="F243" s="501"/>
      <c r="G243" s="501"/>
      <c r="H243" s="501"/>
      <c r="I243" s="501"/>
      <c r="J243" s="501"/>
      <c r="K243" s="501"/>
      <c r="L243" s="349"/>
      <c r="M243" s="349"/>
      <c r="N243" s="349"/>
      <c r="O243" s="349"/>
      <c r="P243" s="349"/>
      <c r="Q243" s="349"/>
      <c r="R243" s="349"/>
      <c r="S243" s="349"/>
      <c r="T243" s="349"/>
      <c r="U243" s="349"/>
      <c r="V243" s="502"/>
      <c r="W243" s="386"/>
      <c r="X243" s="503"/>
      <c r="Y243" s="503"/>
      <c r="Z243" s="503"/>
      <c r="AA243" s="503"/>
      <c r="AB243" s="503"/>
      <c r="AC243" s="504"/>
      <c r="AD243" s="504"/>
      <c r="AE243" s="504"/>
      <c r="AF243" s="504"/>
      <c r="AG243" s="505"/>
      <c r="AH243" s="505"/>
    </row>
    <row r="244" spans="2:34" ht="15" x14ac:dyDescent="0.25">
      <c r="B244" s="506" t="s">
        <v>346</v>
      </c>
      <c r="C244" s="501"/>
      <c r="D244" s="501"/>
      <c r="E244" s="501"/>
      <c r="F244" s="501"/>
      <c r="G244" s="501"/>
      <c r="H244" s="501"/>
      <c r="I244" s="501"/>
      <c r="J244" s="501"/>
      <c r="K244" s="501"/>
      <c r="L244" s="349"/>
      <c r="M244" s="349"/>
      <c r="N244" s="349"/>
      <c r="O244" s="349"/>
      <c r="P244" s="349"/>
      <c r="Q244" s="349"/>
      <c r="R244" s="349"/>
      <c r="S244" s="349"/>
      <c r="T244" s="349"/>
      <c r="U244" s="349"/>
      <c r="V244" s="502"/>
      <c r="W244" s="386"/>
      <c r="X244" s="503"/>
      <c r="Y244" s="503"/>
      <c r="Z244" s="503"/>
      <c r="AA244" s="503"/>
      <c r="AB244" s="503"/>
      <c r="AC244" s="504"/>
      <c r="AD244" s="504"/>
      <c r="AE244" s="504"/>
      <c r="AF244" s="504"/>
      <c r="AG244" s="505"/>
      <c r="AH244" s="505"/>
    </row>
    <row r="245" spans="2:34" ht="15" x14ac:dyDescent="0.25">
      <c r="B245" s="506" t="s">
        <v>347</v>
      </c>
      <c r="C245" s="501"/>
      <c r="D245" s="501"/>
      <c r="E245" s="501"/>
      <c r="F245" s="501"/>
      <c r="G245" s="501"/>
      <c r="H245" s="501"/>
      <c r="I245" s="501"/>
      <c r="J245" s="501"/>
      <c r="K245" s="501"/>
      <c r="L245" s="349"/>
      <c r="M245" s="349"/>
      <c r="N245" s="349"/>
      <c r="O245" s="349"/>
      <c r="P245" s="349"/>
      <c r="Q245" s="349"/>
      <c r="R245" s="349"/>
      <c r="S245" s="349"/>
      <c r="T245" s="349"/>
      <c r="U245" s="349"/>
      <c r="V245" s="502"/>
      <c r="W245" s="386"/>
      <c r="X245" s="503"/>
      <c r="Y245" s="503"/>
      <c r="Z245" s="503"/>
      <c r="AA245" s="503"/>
      <c r="AB245" s="503"/>
      <c r="AC245" s="504"/>
      <c r="AD245" s="504"/>
      <c r="AE245" s="504"/>
      <c r="AF245" s="504"/>
      <c r="AG245" s="505"/>
      <c r="AH245" s="505"/>
    </row>
    <row r="246" spans="2:34" ht="15" x14ac:dyDescent="0.25">
      <c r="B246" s="506" t="s">
        <v>348</v>
      </c>
      <c r="C246" s="501"/>
      <c r="D246" s="501"/>
      <c r="E246" s="501"/>
      <c r="F246" s="501"/>
      <c r="G246" s="501"/>
      <c r="H246" s="501"/>
      <c r="I246" s="501"/>
      <c r="J246" s="501"/>
      <c r="K246" s="501"/>
      <c r="L246" s="349"/>
      <c r="M246" s="349"/>
      <c r="N246" s="349"/>
      <c r="O246" s="349"/>
      <c r="P246" s="349"/>
      <c r="Q246" s="349"/>
      <c r="R246" s="349"/>
      <c r="S246" s="349"/>
      <c r="T246" s="349"/>
      <c r="U246" s="349"/>
      <c r="V246" s="502"/>
      <c r="W246" s="386"/>
      <c r="X246" s="503"/>
      <c r="Y246" s="503"/>
      <c r="Z246" s="503"/>
      <c r="AA246" s="503"/>
      <c r="AB246" s="503"/>
      <c r="AC246" s="504"/>
      <c r="AD246" s="504"/>
      <c r="AE246" s="504"/>
      <c r="AF246" s="504"/>
      <c r="AG246" s="505"/>
      <c r="AH246" s="505"/>
    </row>
    <row r="247" spans="2:34" ht="15" x14ac:dyDescent="0.25">
      <c r="B247" s="506" t="s">
        <v>349</v>
      </c>
      <c r="C247" s="501"/>
      <c r="D247" s="501"/>
      <c r="E247" s="501"/>
      <c r="F247" s="501"/>
      <c r="G247" s="501"/>
      <c r="H247" s="501"/>
      <c r="I247" s="501"/>
      <c r="J247" s="501"/>
      <c r="K247" s="501"/>
      <c r="L247" s="349"/>
      <c r="M247" s="349"/>
      <c r="N247" s="349"/>
      <c r="O247" s="349"/>
      <c r="P247" s="349"/>
      <c r="Q247" s="349"/>
      <c r="R247" s="349"/>
      <c r="S247" s="349"/>
      <c r="T247" s="349"/>
      <c r="U247" s="349"/>
      <c r="V247" s="502"/>
      <c r="W247" s="386"/>
      <c r="X247" s="503"/>
      <c r="Y247" s="503"/>
      <c r="Z247" s="503"/>
      <c r="AA247" s="503"/>
      <c r="AB247" s="503"/>
      <c r="AC247" s="504"/>
      <c r="AD247" s="504"/>
      <c r="AE247" s="504"/>
      <c r="AF247" s="504"/>
      <c r="AG247" s="505"/>
      <c r="AH247" s="505"/>
    </row>
    <row r="248" spans="2:34" ht="15" x14ac:dyDescent="0.25">
      <c r="B248" s="506" t="s">
        <v>350</v>
      </c>
      <c r="C248" s="501"/>
      <c r="D248" s="501"/>
      <c r="E248" s="501"/>
      <c r="F248" s="501"/>
      <c r="G248" s="501"/>
      <c r="H248" s="501"/>
      <c r="I248" s="501"/>
      <c r="J248" s="501"/>
      <c r="K248" s="501"/>
      <c r="L248" s="349"/>
      <c r="M248" s="349"/>
      <c r="N248" s="349"/>
      <c r="O248" s="349"/>
      <c r="P248" s="349"/>
      <c r="Q248" s="349"/>
      <c r="R248" s="349"/>
      <c r="S248" s="349"/>
      <c r="T248" s="349"/>
      <c r="U248" s="349"/>
      <c r="V248" s="502"/>
      <c r="W248" s="386"/>
      <c r="X248" s="503"/>
      <c r="Y248" s="503"/>
      <c r="Z248" s="503"/>
      <c r="AA248" s="503"/>
      <c r="AB248" s="503"/>
      <c r="AC248" s="504"/>
      <c r="AD248" s="504"/>
      <c r="AE248" s="504"/>
      <c r="AF248" s="504"/>
      <c r="AG248" s="505"/>
      <c r="AH248" s="505"/>
    </row>
    <row r="249" spans="2:34" ht="15" x14ac:dyDescent="0.25">
      <c r="B249" s="506" t="s">
        <v>351</v>
      </c>
      <c r="C249" s="501"/>
      <c r="D249" s="501"/>
      <c r="E249" s="501"/>
      <c r="F249" s="501"/>
      <c r="G249" s="501"/>
      <c r="H249" s="501"/>
      <c r="I249" s="501"/>
      <c r="J249" s="501"/>
      <c r="K249" s="501"/>
      <c r="L249" s="349"/>
      <c r="M249" s="349"/>
      <c r="N249" s="349"/>
      <c r="O249" s="349"/>
      <c r="P249" s="349"/>
      <c r="Q249" s="349"/>
      <c r="R249" s="349"/>
      <c r="S249" s="349"/>
      <c r="T249" s="349"/>
      <c r="U249" s="349"/>
      <c r="V249" s="502"/>
      <c r="W249" s="386"/>
      <c r="X249" s="503"/>
      <c r="Y249" s="503"/>
      <c r="Z249" s="503"/>
      <c r="AA249" s="503"/>
      <c r="AB249" s="503"/>
      <c r="AC249" s="504"/>
      <c r="AD249" s="504"/>
      <c r="AE249" s="504"/>
      <c r="AF249" s="504"/>
      <c r="AG249" s="505"/>
      <c r="AH249" s="505"/>
    </row>
    <row r="250" spans="2:34" ht="15" x14ac:dyDescent="0.25">
      <c r="B250" s="506" t="s">
        <v>352</v>
      </c>
      <c r="C250" s="501"/>
      <c r="D250" s="501"/>
      <c r="E250" s="501"/>
      <c r="F250" s="501"/>
      <c r="G250" s="501"/>
      <c r="H250" s="501"/>
      <c r="I250" s="501"/>
      <c r="J250" s="501"/>
      <c r="K250" s="501"/>
      <c r="L250" s="349"/>
      <c r="M250" s="349"/>
      <c r="N250" s="349"/>
      <c r="O250" s="349"/>
      <c r="P250" s="349"/>
      <c r="Q250" s="349"/>
      <c r="R250" s="349"/>
      <c r="S250" s="349"/>
      <c r="T250" s="349"/>
      <c r="U250" s="349"/>
      <c r="V250" s="502"/>
      <c r="W250" s="386"/>
      <c r="X250" s="503"/>
      <c r="Y250" s="503"/>
      <c r="Z250" s="503"/>
      <c r="AA250" s="503"/>
      <c r="AB250" s="503"/>
      <c r="AC250" s="504"/>
      <c r="AD250" s="504"/>
      <c r="AE250" s="504"/>
      <c r="AF250" s="504"/>
      <c r="AG250" s="505"/>
      <c r="AH250" s="505"/>
    </row>
    <row r="251" spans="2:34" ht="15" x14ac:dyDescent="0.25">
      <c r="B251" s="506" t="s">
        <v>353</v>
      </c>
      <c r="C251" s="501"/>
      <c r="D251" s="501"/>
      <c r="E251" s="501"/>
      <c r="F251" s="501"/>
      <c r="G251" s="501"/>
      <c r="H251" s="501"/>
      <c r="I251" s="501"/>
      <c r="J251" s="501"/>
      <c r="K251" s="501"/>
      <c r="L251" s="349"/>
      <c r="M251" s="349"/>
      <c r="N251" s="349"/>
      <c r="O251" s="349"/>
      <c r="P251" s="349"/>
      <c r="Q251" s="349"/>
      <c r="R251" s="349"/>
      <c r="S251" s="349"/>
      <c r="T251" s="349"/>
      <c r="U251" s="349"/>
      <c r="V251" s="502"/>
      <c r="W251" s="386"/>
      <c r="X251" s="503"/>
      <c r="Y251" s="503"/>
      <c r="Z251" s="503"/>
      <c r="AA251" s="503"/>
      <c r="AB251" s="503"/>
      <c r="AC251" s="504"/>
      <c r="AD251" s="504"/>
      <c r="AE251" s="504"/>
      <c r="AF251" s="504"/>
      <c r="AG251" s="505"/>
      <c r="AH251" s="505"/>
    </row>
    <row r="252" spans="2:34" ht="15" x14ac:dyDescent="0.25">
      <c r="B252" s="506" t="s">
        <v>354</v>
      </c>
      <c r="C252" s="501"/>
      <c r="D252" s="501"/>
      <c r="E252" s="501"/>
      <c r="F252" s="501"/>
      <c r="G252" s="501"/>
      <c r="H252" s="501"/>
      <c r="I252" s="501"/>
      <c r="J252" s="501"/>
      <c r="K252" s="501"/>
      <c r="L252" s="349"/>
      <c r="M252" s="349"/>
      <c r="N252" s="349"/>
      <c r="O252" s="349"/>
      <c r="P252" s="349"/>
      <c r="Q252" s="349"/>
      <c r="R252" s="349"/>
      <c r="S252" s="349"/>
      <c r="T252" s="349"/>
      <c r="U252" s="349"/>
      <c r="V252" s="502"/>
      <c r="W252" s="386"/>
      <c r="X252" s="503"/>
      <c r="Y252" s="503"/>
      <c r="Z252" s="503"/>
      <c r="AA252" s="503"/>
      <c r="AB252" s="503"/>
      <c r="AC252" s="504"/>
      <c r="AD252" s="504"/>
      <c r="AE252" s="504"/>
      <c r="AF252" s="504"/>
      <c r="AG252" s="505"/>
      <c r="AH252" s="505"/>
    </row>
    <row r="253" spans="2:34" ht="15" x14ac:dyDescent="0.25">
      <c r="B253" s="506" t="s">
        <v>355</v>
      </c>
      <c r="C253" s="501"/>
      <c r="D253" s="501"/>
      <c r="E253" s="501"/>
      <c r="F253" s="501"/>
      <c r="G253" s="501"/>
      <c r="H253" s="501"/>
      <c r="I253" s="501"/>
      <c r="J253" s="501"/>
      <c r="K253" s="501"/>
      <c r="L253" s="349"/>
      <c r="M253" s="349"/>
      <c r="N253" s="349"/>
      <c r="O253" s="349"/>
      <c r="P253" s="349"/>
      <c r="Q253" s="349"/>
      <c r="R253" s="349"/>
      <c r="S253" s="349"/>
      <c r="T253" s="349"/>
      <c r="U253" s="349"/>
      <c r="V253" s="502"/>
      <c r="W253" s="386"/>
      <c r="X253" s="503"/>
      <c r="Y253" s="503"/>
      <c r="Z253" s="503"/>
      <c r="AA253" s="503"/>
      <c r="AB253" s="503"/>
      <c r="AC253" s="504"/>
      <c r="AD253" s="504"/>
      <c r="AE253" s="504"/>
      <c r="AF253" s="504"/>
      <c r="AG253" s="505"/>
      <c r="AH253" s="505"/>
    </row>
    <row r="254" spans="2:34" ht="15" x14ac:dyDescent="0.25">
      <c r="B254" s="506" t="s">
        <v>356</v>
      </c>
      <c r="C254" s="501"/>
      <c r="D254" s="501"/>
      <c r="E254" s="501"/>
      <c r="F254" s="501"/>
      <c r="G254" s="501"/>
      <c r="H254" s="501"/>
      <c r="I254" s="501"/>
      <c r="J254" s="501"/>
      <c r="K254" s="501"/>
      <c r="L254" s="349"/>
      <c r="M254" s="349"/>
      <c r="N254" s="349"/>
      <c r="O254" s="349"/>
      <c r="P254" s="349"/>
      <c r="Q254" s="349"/>
      <c r="R254" s="349"/>
      <c r="S254" s="349"/>
      <c r="T254" s="349"/>
      <c r="U254" s="349"/>
      <c r="V254" s="502"/>
      <c r="W254" s="386"/>
      <c r="X254" s="503"/>
      <c r="Y254" s="503"/>
      <c r="Z254" s="503"/>
      <c r="AA254" s="503"/>
      <c r="AB254" s="503"/>
      <c r="AC254" s="504"/>
      <c r="AD254" s="504"/>
      <c r="AE254" s="504"/>
      <c r="AF254" s="504"/>
      <c r="AG254" s="505"/>
      <c r="AH254" s="505"/>
    </row>
    <row r="255" spans="2:34" ht="15" x14ac:dyDescent="0.25">
      <c r="B255" s="506" t="s">
        <v>357</v>
      </c>
      <c r="C255" s="501"/>
      <c r="D255" s="501"/>
      <c r="E255" s="501"/>
      <c r="F255" s="501"/>
      <c r="G255" s="501"/>
      <c r="H255" s="501"/>
      <c r="I255" s="501"/>
      <c r="J255" s="501"/>
      <c r="K255" s="501"/>
      <c r="L255" s="349"/>
      <c r="M255" s="349"/>
      <c r="N255" s="349"/>
      <c r="O255" s="349"/>
      <c r="P255" s="349"/>
      <c r="Q255" s="349"/>
      <c r="R255" s="349"/>
      <c r="S255" s="349"/>
      <c r="T255" s="349"/>
      <c r="U255" s="349"/>
      <c r="V255" s="502"/>
      <c r="W255" s="386"/>
      <c r="X255" s="503"/>
      <c r="Y255" s="503"/>
      <c r="Z255" s="503"/>
      <c r="AA255" s="503"/>
      <c r="AB255" s="503"/>
      <c r="AC255" s="504"/>
      <c r="AD255" s="504"/>
      <c r="AE255" s="504"/>
      <c r="AF255" s="504"/>
      <c r="AG255" s="505"/>
      <c r="AH255" s="505"/>
    </row>
    <row r="256" spans="2:34" ht="15" x14ac:dyDescent="0.25">
      <c r="B256" s="506" t="s">
        <v>358</v>
      </c>
      <c r="C256" s="501"/>
      <c r="D256" s="501"/>
      <c r="E256" s="501"/>
      <c r="F256" s="501"/>
      <c r="G256" s="501"/>
      <c r="H256" s="501"/>
      <c r="I256" s="501"/>
      <c r="J256" s="501"/>
      <c r="K256" s="501"/>
      <c r="L256" s="349"/>
      <c r="M256" s="349"/>
      <c r="N256" s="349"/>
      <c r="O256" s="349"/>
      <c r="P256" s="349"/>
      <c r="Q256" s="349"/>
      <c r="R256" s="349"/>
      <c r="S256" s="349"/>
      <c r="T256" s="349"/>
      <c r="U256" s="349"/>
      <c r="V256" s="502"/>
      <c r="W256" s="386"/>
      <c r="X256" s="503"/>
      <c r="Y256" s="503"/>
      <c r="Z256" s="503"/>
      <c r="AA256" s="503"/>
      <c r="AB256" s="503"/>
      <c r="AC256" s="504"/>
      <c r="AD256" s="504"/>
      <c r="AE256" s="504"/>
      <c r="AF256" s="504"/>
      <c r="AG256" s="505"/>
      <c r="AH256" s="505"/>
    </row>
    <row r="257" spans="2:34" ht="15" x14ac:dyDescent="0.25">
      <c r="B257" s="506" t="s">
        <v>359</v>
      </c>
      <c r="C257" s="501"/>
      <c r="D257" s="501"/>
      <c r="E257" s="501"/>
      <c r="F257" s="501"/>
      <c r="G257" s="501"/>
      <c r="H257" s="501"/>
      <c r="I257" s="501"/>
      <c r="J257" s="501"/>
      <c r="K257" s="501"/>
      <c r="L257" s="349"/>
      <c r="M257" s="349"/>
      <c r="N257" s="349"/>
      <c r="O257" s="349"/>
      <c r="P257" s="349"/>
      <c r="Q257" s="349"/>
      <c r="R257" s="349"/>
      <c r="S257" s="349"/>
      <c r="T257" s="349"/>
      <c r="U257" s="349"/>
      <c r="V257" s="502"/>
      <c r="W257" s="386"/>
      <c r="X257" s="503"/>
      <c r="Y257" s="503"/>
      <c r="Z257" s="503"/>
      <c r="AA257" s="503"/>
      <c r="AB257" s="503"/>
      <c r="AC257" s="504"/>
      <c r="AD257" s="504"/>
      <c r="AE257" s="504"/>
      <c r="AF257" s="504"/>
      <c r="AG257" s="505"/>
      <c r="AH257" s="505"/>
    </row>
    <row r="258" spans="2:34" ht="15" x14ac:dyDescent="0.25">
      <c r="B258" s="506" t="s">
        <v>360</v>
      </c>
      <c r="C258" s="501"/>
      <c r="D258" s="501"/>
      <c r="E258" s="501"/>
      <c r="F258" s="501"/>
      <c r="G258" s="501"/>
      <c r="H258" s="501"/>
      <c r="I258" s="501"/>
      <c r="J258" s="501"/>
      <c r="K258" s="501"/>
      <c r="L258" s="349"/>
      <c r="M258" s="349"/>
      <c r="N258" s="349"/>
      <c r="O258" s="349"/>
      <c r="P258" s="349"/>
      <c r="Q258" s="349"/>
      <c r="R258" s="349"/>
      <c r="S258" s="349"/>
      <c r="T258" s="349"/>
      <c r="U258" s="349"/>
      <c r="V258" s="502"/>
      <c r="W258" s="386"/>
      <c r="X258" s="503"/>
      <c r="Y258" s="503"/>
      <c r="Z258" s="503"/>
      <c r="AA258" s="503"/>
      <c r="AB258" s="503"/>
      <c r="AC258" s="504"/>
      <c r="AD258" s="504"/>
      <c r="AE258" s="504"/>
      <c r="AF258" s="504"/>
      <c r="AG258" s="505"/>
      <c r="AH258" s="505"/>
    </row>
    <row r="259" spans="2:34" ht="15" x14ac:dyDescent="0.25">
      <c r="B259" s="506" t="s">
        <v>361</v>
      </c>
      <c r="C259" s="501"/>
      <c r="D259" s="501"/>
      <c r="E259" s="501"/>
      <c r="F259" s="501"/>
      <c r="G259" s="501"/>
      <c r="H259" s="501"/>
      <c r="I259" s="501"/>
      <c r="J259" s="501"/>
      <c r="K259" s="501"/>
      <c r="L259" s="349"/>
      <c r="M259" s="349"/>
      <c r="N259" s="349"/>
      <c r="O259" s="349"/>
      <c r="P259" s="349"/>
      <c r="Q259" s="349"/>
      <c r="R259" s="349"/>
      <c r="S259" s="349"/>
      <c r="T259" s="349"/>
      <c r="U259" s="349"/>
      <c r="V259" s="502"/>
      <c r="W259" s="386"/>
      <c r="X259" s="503"/>
      <c r="Y259" s="503"/>
      <c r="Z259" s="503"/>
      <c r="AA259" s="503"/>
      <c r="AB259" s="503"/>
      <c r="AC259" s="504"/>
      <c r="AD259" s="504"/>
      <c r="AE259" s="504"/>
      <c r="AF259" s="504"/>
      <c r="AG259" s="505"/>
      <c r="AH259" s="505"/>
    </row>
    <row r="260" spans="2:34" ht="15" x14ac:dyDescent="0.25">
      <c r="B260" s="506" t="s">
        <v>362</v>
      </c>
      <c r="C260" s="501"/>
      <c r="D260" s="501"/>
      <c r="E260" s="501"/>
      <c r="F260" s="501"/>
      <c r="G260" s="501"/>
      <c r="H260" s="501"/>
      <c r="I260" s="501"/>
      <c r="J260" s="501"/>
      <c r="K260" s="501"/>
      <c r="L260" s="349"/>
      <c r="M260" s="349"/>
      <c r="N260" s="349"/>
      <c r="O260" s="349"/>
      <c r="P260" s="349"/>
      <c r="Q260" s="349"/>
      <c r="R260" s="349"/>
      <c r="S260" s="349"/>
      <c r="T260" s="349"/>
      <c r="U260" s="349"/>
      <c r="V260" s="502"/>
      <c r="W260" s="386"/>
      <c r="X260" s="503"/>
      <c r="Y260" s="503"/>
      <c r="Z260" s="503"/>
      <c r="AA260" s="503"/>
      <c r="AB260" s="503"/>
      <c r="AC260" s="504"/>
      <c r="AD260" s="504"/>
      <c r="AE260" s="504"/>
      <c r="AF260" s="504"/>
      <c r="AG260" s="505"/>
      <c r="AH260" s="505"/>
    </row>
    <row r="261" spans="2:34" ht="15" x14ac:dyDescent="0.25">
      <c r="B261" s="506" t="s">
        <v>363</v>
      </c>
      <c r="C261" s="501"/>
      <c r="D261" s="501"/>
      <c r="E261" s="501"/>
      <c r="F261" s="501"/>
      <c r="G261" s="501"/>
      <c r="H261" s="501"/>
      <c r="I261" s="501"/>
      <c r="J261" s="501"/>
      <c r="K261" s="501"/>
      <c r="L261" s="349"/>
      <c r="M261" s="349"/>
      <c r="N261" s="349"/>
      <c r="O261" s="349"/>
      <c r="P261" s="349"/>
      <c r="Q261" s="349"/>
      <c r="R261" s="349"/>
      <c r="S261" s="349"/>
      <c r="T261" s="349"/>
      <c r="U261" s="349"/>
      <c r="V261" s="502"/>
      <c r="W261" s="386"/>
      <c r="X261" s="503"/>
      <c r="Y261" s="503"/>
      <c r="Z261" s="503"/>
      <c r="AA261" s="503"/>
      <c r="AB261" s="503"/>
      <c r="AC261" s="504"/>
      <c r="AD261" s="504"/>
      <c r="AE261" s="504"/>
      <c r="AF261" s="504"/>
      <c r="AG261" s="505"/>
      <c r="AH261" s="505"/>
    </row>
    <row r="262" spans="2:34" ht="15" x14ac:dyDescent="0.25">
      <c r="B262" s="506" t="s">
        <v>364</v>
      </c>
      <c r="C262" s="501"/>
      <c r="D262" s="501"/>
      <c r="E262" s="501"/>
      <c r="F262" s="501"/>
      <c r="G262" s="501"/>
      <c r="H262" s="501"/>
      <c r="I262" s="501"/>
      <c r="J262" s="501"/>
      <c r="K262" s="501"/>
      <c r="L262" s="349"/>
      <c r="M262" s="349"/>
      <c r="N262" s="349"/>
      <c r="O262" s="349"/>
      <c r="P262" s="349"/>
      <c r="Q262" s="349"/>
      <c r="R262" s="349"/>
      <c r="S262" s="349"/>
      <c r="T262" s="349"/>
      <c r="U262" s="349"/>
      <c r="V262" s="502"/>
      <c r="W262" s="386"/>
      <c r="X262" s="503"/>
      <c r="Y262" s="503"/>
      <c r="Z262" s="503"/>
      <c r="AA262" s="503"/>
      <c r="AB262" s="503"/>
      <c r="AC262" s="504"/>
      <c r="AD262" s="504"/>
      <c r="AE262" s="504"/>
      <c r="AF262" s="504"/>
      <c r="AG262" s="505"/>
      <c r="AH262" s="505"/>
    </row>
    <row r="263" spans="2:34" ht="15" x14ac:dyDescent="0.25">
      <c r="B263" s="506" t="s">
        <v>365</v>
      </c>
      <c r="C263" s="501"/>
      <c r="D263" s="501"/>
      <c r="E263" s="501"/>
      <c r="F263" s="501"/>
      <c r="G263" s="501"/>
      <c r="H263" s="501"/>
      <c r="I263" s="501"/>
      <c r="J263" s="501"/>
      <c r="K263" s="501"/>
      <c r="L263" s="349"/>
      <c r="M263" s="349"/>
      <c r="N263" s="349"/>
      <c r="O263" s="349"/>
      <c r="P263" s="349"/>
      <c r="Q263" s="349"/>
      <c r="R263" s="349"/>
      <c r="S263" s="349"/>
      <c r="T263" s="349"/>
      <c r="U263" s="349"/>
      <c r="V263" s="502"/>
      <c r="W263" s="386"/>
      <c r="X263" s="503"/>
      <c r="Y263" s="503"/>
      <c r="Z263" s="503"/>
      <c r="AA263" s="503"/>
      <c r="AB263" s="503"/>
      <c r="AC263" s="504"/>
      <c r="AD263" s="504"/>
      <c r="AE263" s="504"/>
      <c r="AF263" s="504"/>
      <c r="AG263" s="505"/>
      <c r="AH263" s="505"/>
    </row>
    <row r="264" spans="2:34" ht="15" x14ac:dyDescent="0.25">
      <c r="B264" s="506" t="s">
        <v>366</v>
      </c>
      <c r="C264" s="501"/>
      <c r="D264" s="501"/>
      <c r="E264" s="501"/>
      <c r="F264" s="501"/>
      <c r="G264" s="501"/>
      <c r="H264" s="501"/>
      <c r="I264" s="501"/>
      <c r="J264" s="501"/>
      <c r="K264" s="501"/>
      <c r="L264" s="349"/>
      <c r="M264" s="349"/>
      <c r="N264" s="349"/>
      <c r="O264" s="349"/>
      <c r="P264" s="349"/>
      <c r="Q264" s="349"/>
      <c r="R264" s="349"/>
      <c r="S264" s="349"/>
      <c r="T264" s="349"/>
      <c r="U264" s="349"/>
      <c r="V264" s="502"/>
      <c r="W264" s="386"/>
      <c r="X264" s="503"/>
      <c r="Y264" s="503"/>
      <c r="Z264" s="503"/>
      <c r="AA264" s="503"/>
      <c r="AB264" s="503"/>
      <c r="AC264" s="504"/>
      <c r="AD264" s="504"/>
      <c r="AE264" s="504"/>
      <c r="AF264" s="504"/>
      <c r="AG264" s="505"/>
      <c r="AH264" s="505"/>
    </row>
    <row r="265" spans="2:34" ht="15" x14ac:dyDescent="0.25">
      <c r="B265" s="506" t="s">
        <v>367</v>
      </c>
      <c r="C265" s="501"/>
      <c r="D265" s="501"/>
      <c r="E265" s="501"/>
      <c r="F265" s="501"/>
      <c r="G265" s="501"/>
      <c r="H265" s="501"/>
      <c r="I265" s="501"/>
      <c r="J265" s="501"/>
      <c r="K265" s="501"/>
      <c r="L265" s="349"/>
      <c r="M265" s="349"/>
      <c r="N265" s="349"/>
      <c r="O265" s="349"/>
      <c r="P265" s="349"/>
      <c r="Q265" s="349"/>
      <c r="R265" s="349"/>
      <c r="S265" s="349"/>
      <c r="T265" s="349"/>
      <c r="U265" s="349"/>
      <c r="V265" s="502"/>
      <c r="W265" s="386"/>
      <c r="X265" s="503"/>
      <c r="Y265" s="503"/>
      <c r="Z265" s="503"/>
      <c r="AA265" s="503"/>
      <c r="AB265" s="503"/>
      <c r="AC265" s="504"/>
      <c r="AD265" s="504"/>
      <c r="AE265" s="504"/>
      <c r="AF265" s="504"/>
      <c r="AG265" s="505"/>
      <c r="AH265" s="505"/>
    </row>
    <row r="266" spans="2:34" ht="15" x14ac:dyDescent="0.25">
      <c r="B266" s="506" t="s">
        <v>368</v>
      </c>
      <c r="C266" s="501"/>
      <c r="D266" s="501"/>
      <c r="E266" s="501"/>
      <c r="F266" s="501"/>
      <c r="G266" s="501"/>
      <c r="H266" s="501"/>
      <c r="I266" s="501"/>
      <c r="J266" s="501"/>
      <c r="K266" s="501"/>
      <c r="L266" s="349"/>
      <c r="M266" s="349"/>
      <c r="N266" s="349"/>
      <c r="O266" s="349"/>
      <c r="P266" s="349"/>
      <c r="Q266" s="349"/>
      <c r="R266" s="349"/>
      <c r="S266" s="349"/>
      <c r="T266" s="349"/>
      <c r="U266" s="349"/>
      <c r="V266" s="502"/>
      <c r="W266" s="386"/>
      <c r="X266" s="503"/>
      <c r="Y266" s="503"/>
      <c r="Z266" s="503"/>
      <c r="AA266" s="503"/>
      <c r="AB266" s="503"/>
      <c r="AC266" s="504"/>
      <c r="AD266" s="504"/>
      <c r="AE266" s="504"/>
      <c r="AF266" s="504"/>
      <c r="AG266" s="505"/>
      <c r="AH266" s="505"/>
    </row>
    <row r="267" spans="2:34" ht="15" x14ac:dyDescent="0.25">
      <c r="B267" s="506" t="s">
        <v>369</v>
      </c>
      <c r="C267" s="501"/>
      <c r="D267" s="501"/>
      <c r="E267" s="501"/>
      <c r="F267" s="501"/>
      <c r="G267" s="501"/>
      <c r="H267" s="501"/>
      <c r="I267" s="501"/>
      <c r="J267" s="501"/>
      <c r="K267" s="501"/>
      <c r="L267" s="349"/>
      <c r="M267" s="349"/>
      <c r="N267" s="349"/>
      <c r="O267" s="349"/>
      <c r="P267" s="349"/>
      <c r="Q267" s="349"/>
      <c r="R267" s="349"/>
      <c r="S267" s="349"/>
      <c r="T267" s="349"/>
      <c r="U267" s="349"/>
      <c r="V267" s="502"/>
      <c r="W267" s="386"/>
      <c r="X267" s="503"/>
      <c r="Y267" s="503"/>
      <c r="Z267" s="503"/>
      <c r="AA267" s="503"/>
      <c r="AB267" s="503"/>
      <c r="AC267" s="504"/>
      <c r="AD267" s="504"/>
      <c r="AE267" s="504"/>
      <c r="AF267" s="504"/>
      <c r="AG267" s="505"/>
      <c r="AH267" s="505"/>
    </row>
    <row r="268" spans="2:34" ht="15" x14ac:dyDescent="0.25">
      <c r="B268" s="506" t="s">
        <v>370</v>
      </c>
      <c r="C268" s="501"/>
      <c r="D268" s="501"/>
      <c r="E268" s="501"/>
      <c r="F268" s="501"/>
      <c r="G268" s="501"/>
      <c r="H268" s="501"/>
      <c r="I268" s="501"/>
      <c r="J268" s="501"/>
      <c r="K268" s="501"/>
      <c r="L268" s="349"/>
      <c r="M268" s="349"/>
      <c r="N268" s="349"/>
      <c r="O268" s="349"/>
      <c r="P268" s="349"/>
      <c r="Q268" s="349"/>
      <c r="R268" s="349"/>
      <c r="S268" s="349"/>
      <c r="T268" s="349"/>
      <c r="U268" s="349"/>
      <c r="V268" s="502"/>
      <c r="W268" s="386"/>
      <c r="X268" s="503"/>
      <c r="Y268" s="503"/>
      <c r="Z268" s="503"/>
      <c r="AA268" s="503"/>
      <c r="AB268" s="503"/>
      <c r="AC268" s="504"/>
      <c r="AD268" s="504"/>
      <c r="AE268" s="504"/>
      <c r="AF268" s="504"/>
      <c r="AG268" s="505"/>
      <c r="AH268" s="505"/>
    </row>
    <row r="269" spans="2:34" ht="15" x14ac:dyDescent="0.25">
      <c r="B269" s="506" t="s">
        <v>371</v>
      </c>
      <c r="C269" s="501"/>
      <c r="D269" s="501"/>
      <c r="E269" s="501"/>
      <c r="F269" s="501"/>
      <c r="G269" s="501"/>
      <c r="H269" s="501"/>
      <c r="I269" s="501"/>
      <c r="J269" s="501"/>
      <c r="K269" s="501"/>
      <c r="L269" s="349"/>
      <c r="M269" s="349"/>
      <c r="N269" s="349"/>
      <c r="O269" s="349"/>
      <c r="P269" s="349"/>
      <c r="Q269" s="349"/>
      <c r="R269" s="349"/>
      <c r="S269" s="349"/>
      <c r="T269" s="349"/>
      <c r="U269" s="349"/>
      <c r="V269" s="502"/>
      <c r="W269" s="386"/>
      <c r="X269" s="503"/>
      <c r="Y269" s="503"/>
      <c r="Z269" s="503"/>
      <c r="AA269" s="503"/>
      <c r="AB269" s="503"/>
      <c r="AC269" s="504"/>
      <c r="AD269" s="504"/>
      <c r="AE269" s="504"/>
      <c r="AF269" s="504"/>
      <c r="AG269" s="505"/>
      <c r="AH269" s="505"/>
    </row>
    <row r="270" spans="2:34" ht="15" x14ac:dyDescent="0.25">
      <c r="B270" s="506" t="s">
        <v>372</v>
      </c>
      <c r="C270" s="501"/>
      <c r="D270" s="501"/>
      <c r="E270" s="501"/>
      <c r="F270" s="501"/>
      <c r="G270" s="501"/>
      <c r="H270" s="501"/>
      <c r="I270" s="501"/>
      <c r="J270" s="501"/>
      <c r="K270" s="501"/>
      <c r="L270" s="349"/>
      <c r="M270" s="349"/>
      <c r="N270" s="349"/>
      <c r="O270" s="349"/>
      <c r="P270" s="349"/>
      <c r="Q270" s="349"/>
      <c r="R270" s="349"/>
      <c r="S270" s="349"/>
      <c r="T270" s="349"/>
      <c r="U270" s="349"/>
      <c r="V270" s="502"/>
      <c r="W270" s="386"/>
      <c r="X270" s="503"/>
      <c r="Y270" s="503"/>
      <c r="Z270" s="503"/>
      <c r="AA270" s="503"/>
      <c r="AB270" s="503"/>
      <c r="AC270" s="504"/>
      <c r="AD270" s="504"/>
      <c r="AE270" s="504"/>
      <c r="AF270" s="504"/>
      <c r="AG270" s="505"/>
      <c r="AH270" s="505"/>
    </row>
    <row r="271" spans="2:34" ht="15" x14ac:dyDescent="0.25">
      <c r="B271" s="506" t="s">
        <v>373</v>
      </c>
      <c r="C271" s="501"/>
      <c r="D271" s="501"/>
      <c r="E271" s="501"/>
      <c r="F271" s="501"/>
      <c r="G271" s="501"/>
      <c r="H271" s="501"/>
      <c r="I271" s="501"/>
      <c r="J271" s="501"/>
      <c r="K271" s="501"/>
      <c r="L271" s="349"/>
      <c r="M271" s="349"/>
      <c r="N271" s="349"/>
      <c r="O271" s="349"/>
      <c r="P271" s="349"/>
      <c r="Q271" s="349"/>
      <c r="R271" s="349"/>
      <c r="S271" s="349"/>
      <c r="T271" s="349"/>
      <c r="U271" s="349"/>
      <c r="V271" s="502"/>
      <c r="W271" s="386"/>
      <c r="X271" s="503"/>
      <c r="Y271" s="503"/>
      <c r="Z271" s="503"/>
      <c r="AA271" s="503"/>
      <c r="AB271" s="503"/>
      <c r="AC271" s="504"/>
      <c r="AD271" s="504"/>
      <c r="AE271" s="504"/>
      <c r="AF271" s="504"/>
      <c r="AG271" s="505"/>
      <c r="AH271" s="505"/>
    </row>
    <row r="272" spans="2:34" ht="15" x14ac:dyDescent="0.25">
      <c r="B272" s="506" t="s">
        <v>374</v>
      </c>
      <c r="C272" s="501"/>
      <c r="D272" s="501"/>
      <c r="E272" s="501"/>
      <c r="F272" s="501"/>
      <c r="G272" s="501"/>
      <c r="H272" s="501"/>
      <c r="I272" s="501"/>
      <c r="J272" s="501"/>
      <c r="K272" s="501"/>
      <c r="L272" s="349"/>
      <c r="M272" s="349"/>
      <c r="N272" s="349"/>
      <c r="O272" s="349"/>
      <c r="P272" s="349"/>
      <c r="Q272" s="349"/>
      <c r="R272" s="349"/>
      <c r="S272" s="349"/>
      <c r="T272" s="349"/>
      <c r="U272" s="349"/>
      <c r="V272" s="502"/>
      <c r="W272" s="386"/>
      <c r="X272" s="503"/>
      <c r="Y272" s="503"/>
      <c r="Z272" s="503"/>
      <c r="AA272" s="503"/>
      <c r="AB272" s="503"/>
      <c r="AC272" s="504"/>
      <c r="AD272" s="504"/>
      <c r="AE272" s="504"/>
      <c r="AF272" s="504"/>
      <c r="AG272" s="505"/>
      <c r="AH272" s="505"/>
    </row>
    <row r="273" spans="2:34" ht="15" x14ac:dyDescent="0.25">
      <c r="B273" s="506" t="s">
        <v>375</v>
      </c>
      <c r="C273" s="501"/>
      <c r="D273" s="501"/>
      <c r="E273" s="501"/>
      <c r="F273" s="501"/>
      <c r="G273" s="501"/>
      <c r="H273" s="501"/>
      <c r="I273" s="501"/>
      <c r="J273" s="501"/>
      <c r="K273" s="501"/>
      <c r="L273" s="349"/>
      <c r="M273" s="349"/>
      <c r="N273" s="349"/>
      <c r="O273" s="349"/>
      <c r="P273" s="349"/>
      <c r="Q273" s="349"/>
      <c r="R273" s="349"/>
      <c r="S273" s="349"/>
      <c r="T273" s="349"/>
      <c r="U273" s="349"/>
      <c r="V273" s="502"/>
      <c r="W273" s="386"/>
      <c r="X273" s="503"/>
      <c r="Y273" s="503"/>
      <c r="Z273" s="503"/>
      <c r="AA273" s="503"/>
      <c r="AB273" s="503"/>
      <c r="AC273" s="504"/>
      <c r="AD273" s="504"/>
      <c r="AE273" s="504"/>
      <c r="AF273" s="504"/>
      <c r="AG273" s="505"/>
      <c r="AH273" s="505"/>
    </row>
    <row r="274" spans="2:34" ht="15" x14ac:dyDescent="0.25">
      <c r="B274" s="506" t="s">
        <v>376</v>
      </c>
      <c r="C274" s="501"/>
      <c r="D274" s="501"/>
      <c r="E274" s="501"/>
      <c r="F274" s="501"/>
      <c r="G274" s="501"/>
      <c r="H274" s="501"/>
      <c r="I274" s="501"/>
      <c r="J274" s="501"/>
      <c r="K274" s="501"/>
      <c r="L274" s="349"/>
      <c r="M274" s="349"/>
      <c r="N274" s="349"/>
      <c r="O274" s="349"/>
      <c r="P274" s="349"/>
      <c r="Q274" s="349"/>
      <c r="R274" s="349"/>
      <c r="S274" s="349"/>
      <c r="T274" s="349"/>
      <c r="U274" s="349"/>
      <c r="V274" s="502"/>
      <c r="W274" s="386"/>
      <c r="X274" s="503"/>
      <c r="Y274" s="503"/>
      <c r="Z274" s="503"/>
      <c r="AA274" s="503"/>
      <c r="AB274" s="503"/>
      <c r="AC274" s="504"/>
      <c r="AD274" s="504"/>
      <c r="AE274" s="504"/>
      <c r="AF274" s="504"/>
      <c r="AG274" s="505"/>
      <c r="AH274" s="505"/>
    </row>
    <row r="275" spans="2:34" ht="15" x14ac:dyDescent="0.25">
      <c r="B275" s="506" t="s">
        <v>377</v>
      </c>
      <c r="C275" s="501"/>
      <c r="D275" s="501"/>
      <c r="E275" s="501"/>
      <c r="F275" s="501"/>
      <c r="G275" s="501"/>
      <c r="H275" s="501"/>
      <c r="I275" s="501"/>
      <c r="J275" s="501"/>
      <c r="K275" s="501"/>
      <c r="L275" s="349"/>
      <c r="M275" s="349"/>
      <c r="N275" s="349"/>
      <c r="O275" s="349"/>
      <c r="P275" s="349"/>
      <c r="Q275" s="349"/>
      <c r="R275" s="349"/>
      <c r="S275" s="349"/>
      <c r="T275" s="349"/>
      <c r="U275" s="349"/>
      <c r="V275" s="502"/>
      <c r="W275" s="386"/>
      <c r="X275" s="503"/>
      <c r="Y275" s="503"/>
      <c r="Z275" s="503"/>
      <c r="AA275" s="503"/>
      <c r="AB275" s="503"/>
      <c r="AC275" s="504"/>
      <c r="AD275" s="504"/>
      <c r="AE275" s="504"/>
      <c r="AF275" s="504"/>
      <c r="AG275" s="505"/>
      <c r="AH275" s="505"/>
    </row>
    <row r="276" spans="2:34" ht="15" x14ac:dyDescent="0.25">
      <c r="B276" s="506" t="s">
        <v>378</v>
      </c>
      <c r="C276" s="501"/>
      <c r="D276" s="501"/>
      <c r="E276" s="501"/>
      <c r="F276" s="501"/>
      <c r="G276" s="501"/>
      <c r="H276" s="501"/>
      <c r="I276" s="501"/>
      <c r="J276" s="501"/>
      <c r="K276" s="501"/>
      <c r="L276" s="349"/>
      <c r="M276" s="349"/>
      <c r="N276" s="349"/>
      <c r="O276" s="349"/>
      <c r="P276" s="349"/>
      <c r="Q276" s="349"/>
      <c r="R276" s="349"/>
      <c r="S276" s="349"/>
      <c r="T276" s="349"/>
      <c r="U276" s="349"/>
      <c r="V276" s="502"/>
      <c r="W276" s="386"/>
      <c r="X276" s="503"/>
      <c r="Y276" s="503"/>
      <c r="Z276" s="503"/>
      <c r="AA276" s="503"/>
      <c r="AB276" s="503"/>
      <c r="AC276" s="504"/>
      <c r="AD276" s="504"/>
      <c r="AE276" s="504"/>
      <c r="AF276" s="504"/>
      <c r="AG276" s="505"/>
      <c r="AH276" s="505"/>
    </row>
    <row r="277" spans="2:34" ht="15" x14ac:dyDescent="0.25">
      <c r="B277" s="506" t="s">
        <v>379</v>
      </c>
      <c r="C277" s="501"/>
      <c r="D277" s="501"/>
      <c r="E277" s="501"/>
      <c r="F277" s="501"/>
      <c r="G277" s="501"/>
      <c r="H277" s="501"/>
      <c r="I277" s="501"/>
      <c r="J277" s="501"/>
      <c r="K277" s="501"/>
      <c r="L277" s="349"/>
      <c r="M277" s="349"/>
      <c r="N277" s="349"/>
      <c r="O277" s="349"/>
      <c r="P277" s="349"/>
      <c r="Q277" s="349"/>
      <c r="R277" s="349"/>
      <c r="S277" s="349"/>
      <c r="T277" s="349"/>
      <c r="U277" s="349"/>
      <c r="V277" s="502"/>
      <c r="W277" s="386"/>
      <c r="X277" s="503"/>
      <c r="Y277" s="503"/>
      <c r="Z277" s="503"/>
      <c r="AA277" s="503"/>
      <c r="AB277" s="503"/>
      <c r="AC277" s="504"/>
      <c r="AD277" s="504"/>
      <c r="AE277" s="504"/>
      <c r="AF277" s="504"/>
      <c r="AG277" s="505"/>
      <c r="AH277" s="505"/>
    </row>
    <row r="278" spans="2:34" ht="15" x14ac:dyDescent="0.25">
      <c r="B278" s="506" t="s">
        <v>380</v>
      </c>
      <c r="C278" s="501"/>
      <c r="D278" s="501"/>
      <c r="E278" s="501"/>
      <c r="F278" s="501"/>
      <c r="G278" s="501"/>
      <c r="H278" s="501"/>
      <c r="I278" s="501"/>
      <c r="J278" s="501"/>
      <c r="K278" s="501"/>
      <c r="L278" s="349"/>
      <c r="M278" s="349"/>
      <c r="N278" s="349"/>
      <c r="O278" s="349"/>
      <c r="P278" s="349"/>
      <c r="Q278" s="349"/>
      <c r="R278" s="349"/>
      <c r="S278" s="349"/>
      <c r="T278" s="349"/>
      <c r="U278" s="349"/>
      <c r="V278" s="502"/>
      <c r="W278" s="386"/>
      <c r="X278" s="503"/>
      <c r="Y278" s="503"/>
      <c r="Z278" s="503"/>
      <c r="AA278" s="503"/>
      <c r="AB278" s="503"/>
      <c r="AC278" s="504"/>
      <c r="AD278" s="504"/>
      <c r="AE278" s="504"/>
      <c r="AF278" s="504"/>
      <c r="AG278" s="505"/>
      <c r="AH278" s="505"/>
    </row>
    <row r="279" spans="2:34" ht="15" x14ac:dyDescent="0.25">
      <c r="B279" s="506" t="s">
        <v>381</v>
      </c>
      <c r="C279" s="501"/>
      <c r="D279" s="501"/>
      <c r="E279" s="501"/>
      <c r="F279" s="501"/>
      <c r="G279" s="501"/>
      <c r="H279" s="501"/>
      <c r="I279" s="501"/>
      <c r="J279" s="501"/>
      <c r="K279" s="501"/>
      <c r="L279" s="349"/>
      <c r="M279" s="349"/>
      <c r="N279" s="349"/>
      <c r="O279" s="349"/>
      <c r="P279" s="349"/>
      <c r="Q279" s="349"/>
      <c r="R279" s="349"/>
      <c r="S279" s="349"/>
      <c r="T279" s="349"/>
      <c r="U279" s="349"/>
      <c r="V279" s="502"/>
      <c r="W279" s="386"/>
      <c r="X279" s="503"/>
      <c r="Y279" s="503"/>
      <c r="Z279" s="503"/>
      <c r="AA279" s="503"/>
      <c r="AB279" s="503"/>
      <c r="AC279" s="504"/>
      <c r="AD279" s="504"/>
      <c r="AE279" s="504"/>
      <c r="AF279" s="504"/>
      <c r="AG279" s="505"/>
      <c r="AH279" s="505"/>
    </row>
    <row r="280" spans="2:34" ht="15" x14ac:dyDescent="0.25">
      <c r="B280" s="506" t="s">
        <v>382</v>
      </c>
      <c r="C280" s="501"/>
      <c r="D280" s="501"/>
      <c r="E280" s="501"/>
      <c r="F280" s="501"/>
      <c r="G280" s="501"/>
      <c r="H280" s="501"/>
      <c r="I280" s="501"/>
      <c r="J280" s="501"/>
      <c r="K280" s="501"/>
      <c r="L280" s="349"/>
      <c r="M280" s="349"/>
      <c r="N280" s="349"/>
      <c r="O280" s="349"/>
      <c r="P280" s="349"/>
      <c r="Q280" s="349"/>
      <c r="R280" s="349"/>
      <c r="S280" s="349"/>
      <c r="T280" s="349"/>
      <c r="U280" s="349"/>
      <c r="V280" s="502"/>
      <c r="W280" s="386"/>
      <c r="X280" s="503"/>
      <c r="Y280" s="503"/>
      <c r="Z280" s="503"/>
      <c r="AA280" s="503"/>
      <c r="AB280" s="503"/>
      <c r="AC280" s="504"/>
      <c r="AD280" s="504"/>
      <c r="AE280" s="504"/>
      <c r="AF280" s="504"/>
      <c r="AG280" s="505"/>
      <c r="AH280" s="505"/>
    </row>
    <row r="281" spans="2:34" ht="15" x14ac:dyDescent="0.25">
      <c r="B281" s="506" t="s">
        <v>383</v>
      </c>
      <c r="C281" s="501"/>
      <c r="D281" s="501"/>
      <c r="E281" s="501"/>
      <c r="F281" s="501"/>
      <c r="G281" s="501"/>
      <c r="H281" s="501"/>
      <c r="I281" s="501"/>
      <c r="J281" s="501"/>
      <c r="K281" s="501"/>
      <c r="L281" s="349"/>
      <c r="M281" s="349"/>
      <c r="N281" s="349"/>
      <c r="O281" s="349"/>
      <c r="P281" s="349"/>
      <c r="Q281" s="349"/>
      <c r="R281" s="349"/>
      <c r="S281" s="349"/>
      <c r="T281" s="349"/>
      <c r="U281" s="349"/>
      <c r="V281" s="502"/>
      <c r="W281" s="386"/>
      <c r="X281" s="503"/>
      <c r="Y281" s="503"/>
      <c r="Z281" s="503"/>
      <c r="AA281" s="503"/>
      <c r="AB281" s="503"/>
      <c r="AC281" s="504"/>
      <c r="AD281" s="504"/>
      <c r="AE281" s="504"/>
      <c r="AF281" s="504"/>
      <c r="AG281" s="505"/>
      <c r="AH281" s="505"/>
    </row>
    <row r="282" spans="2:34" ht="15" x14ac:dyDescent="0.25">
      <c r="B282" s="506" t="s">
        <v>384</v>
      </c>
      <c r="C282" s="501"/>
      <c r="D282" s="501"/>
      <c r="E282" s="501"/>
      <c r="F282" s="501"/>
      <c r="G282" s="501"/>
      <c r="H282" s="501"/>
      <c r="I282" s="501"/>
      <c r="J282" s="501"/>
      <c r="K282" s="501"/>
      <c r="L282" s="349"/>
      <c r="M282" s="349"/>
      <c r="N282" s="349"/>
      <c r="O282" s="349"/>
      <c r="P282" s="349"/>
      <c r="Q282" s="349"/>
      <c r="R282" s="349"/>
      <c r="S282" s="349"/>
      <c r="T282" s="349"/>
      <c r="U282" s="349"/>
      <c r="V282" s="502"/>
      <c r="W282" s="386"/>
      <c r="X282" s="503"/>
      <c r="Y282" s="503"/>
      <c r="Z282" s="503"/>
      <c r="AA282" s="503"/>
      <c r="AB282" s="503"/>
      <c r="AC282" s="504"/>
      <c r="AD282" s="504"/>
      <c r="AE282" s="504"/>
      <c r="AF282" s="504"/>
      <c r="AG282" s="505"/>
      <c r="AH282" s="505"/>
    </row>
    <row r="283" spans="2:34" ht="15" x14ac:dyDescent="0.25">
      <c r="B283" s="506" t="s">
        <v>385</v>
      </c>
      <c r="C283" s="501"/>
      <c r="D283" s="501"/>
      <c r="E283" s="501"/>
      <c r="F283" s="501"/>
      <c r="G283" s="501"/>
      <c r="H283" s="501"/>
      <c r="I283" s="501"/>
      <c r="J283" s="501"/>
      <c r="K283" s="501"/>
      <c r="L283" s="349"/>
      <c r="M283" s="349"/>
      <c r="N283" s="349"/>
      <c r="O283" s="349"/>
      <c r="P283" s="349"/>
      <c r="Q283" s="349"/>
      <c r="R283" s="349"/>
      <c r="S283" s="349"/>
      <c r="T283" s="349"/>
      <c r="U283" s="349"/>
      <c r="V283" s="502"/>
      <c r="W283" s="386"/>
      <c r="X283" s="503"/>
      <c r="Y283" s="503"/>
      <c r="Z283" s="503"/>
      <c r="AA283" s="503"/>
      <c r="AB283" s="503"/>
      <c r="AC283" s="504"/>
      <c r="AD283" s="504"/>
      <c r="AE283" s="504"/>
      <c r="AF283" s="504"/>
      <c r="AG283" s="505"/>
      <c r="AH283" s="505"/>
    </row>
    <row r="284" spans="2:34" ht="15" x14ac:dyDescent="0.25">
      <c r="B284" s="506" t="s">
        <v>386</v>
      </c>
      <c r="C284" s="501"/>
      <c r="D284" s="501"/>
      <c r="E284" s="501"/>
      <c r="F284" s="501"/>
      <c r="G284" s="501"/>
      <c r="H284" s="501"/>
      <c r="I284" s="501"/>
      <c r="J284" s="501"/>
      <c r="K284" s="501"/>
      <c r="L284" s="349"/>
      <c r="M284" s="349"/>
      <c r="N284" s="349"/>
      <c r="O284" s="349"/>
      <c r="P284" s="349"/>
      <c r="Q284" s="349"/>
      <c r="R284" s="349"/>
      <c r="S284" s="349"/>
      <c r="T284" s="349"/>
      <c r="U284" s="349"/>
      <c r="V284" s="502"/>
      <c r="W284" s="386"/>
      <c r="X284" s="503"/>
      <c r="Y284" s="503"/>
      <c r="Z284" s="503"/>
      <c r="AA284" s="503"/>
      <c r="AB284" s="503"/>
      <c r="AC284" s="504"/>
      <c r="AD284" s="504"/>
      <c r="AE284" s="504"/>
      <c r="AF284" s="504"/>
      <c r="AG284" s="505"/>
      <c r="AH284" s="505"/>
    </row>
    <row r="285" spans="2:34" ht="15" x14ac:dyDescent="0.25">
      <c r="B285" s="506" t="s">
        <v>387</v>
      </c>
      <c r="C285" s="501"/>
      <c r="D285" s="501"/>
      <c r="E285" s="501"/>
      <c r="F285" s="501"/>
      <c r="G285" s="501"/>
      <c r="H285" s="501"/>
      <c r="I285" s="501"/>
      <c r="J285" s="501"/>
      <c r="K285" s="501"/>
      <c r="L285" s="349"/>
      <c r="M285" s="349"/>
      <c r="N285" s="349"/>
      <c r="O285" s="349"/>
      <c r="P285" s="349"/>
      <c r="Q285" s="349"/>
      <c r="R285" s="349"/>
      <c r="S285" s="349"/>
      <c r="T285" s="349"/>
      <c r="U285" s="349"/>
      <c r="V285" s="502"/>
      <c r="W285" s="386"/>
      <c r="X285" s="503"/>
      <c r="Y285" s="503"/>
      <c r="Z285" s="503"/>
      <c r="AA285" s="503"/>
      <c r="AB285" s="503"/>
      <c r="AC285" s="504"/>
      <c r="AD285" s="504"/>
      <c r="AE285" s="504"/>
      <c r="AF285" s="504"/>
      <c r="AG285" s="505"/>
      <c r="AH285" s="505"/>
    </row>
    <row r="286" spans="2:34" ht="15" x14ac:dyDescent="0.25">
      <c r="B286" s="506" t="s">
        <v>388</v>
      </c>
      <c r="C286" s="501"/>
      <c r="D286" s="501"/>
      <c r="E286" s="501"/>
      <c r="F286" s="501"/>
      <c r="G286" s="501"/>
      <c r="H286" s="501"/>
      <c r="I286" s="501"/>
      <c r="J286" s="501"/>
      <c r="K286" s="501"/>
      <c r="L286" s="349"/>
      <c r="M286" s="349"/>
      <c r="N286" s="349"/>
      <c r="O286" s="349"/>
      <c r="P286" s="349"/>
      <c r="Q286" s="349"/>
      <c r="R286" s="349"/>
      <c r="S286" s="349"/>
      <c r="T286" s="349"/>
      <c r="U286" s="349"/>
      <c r="V286" s="502"/>
      <c r="W286" s="386"/>
      <c r="X286" s="503"/>
      <c r="Y286" s="503"/>
      <c r="Z286" s="503"/>
      <c r="AA286" s="503"/>
      <c r="AB286" s="503"/>
      <c r="AC286" s="504"/>
      <c r="AD286" s="504"/>
      <c r="AE286" s="504"/>
      <c r="AF286" s="504"/>
      <c r="AG286" s="505"/>
      <c r="AH286" s="505"/>
    </row>
    <row r="287" spans="2:34" ht="15" x14ac:dyDescent="0.25">
      <c r="B287" s="506" t="s">
        <v>389</v>
      </c>
      <c r="C287" s="501"/>
      <c r="D287" s="501"/>
      <c r="E287" s="501"/>
      <c r="F287" s="501"/>
      <c r="G287" s="501"/>
      <c r="H287" s="501"/>
      <c r="I287" s="501"/>
      <c r="J287" s="501"/>
      <c r="K287" s="501"/>
      <c r="L287" s="349"/>
      <c r="M287" s="349"/>
      <c r="N287" s="349"/>
      <c r="O287" s="349"/>
      <c r="P287" s="349"/>
      <c r="Q287" s="349"/>
      <c r="R287" s="349"/>
      <c r="S287" s="349"/>
      <c r="T287" s="349"/>
      <c r="U287" s="349"/>
      <c r="V287" s="502"/>
      <c r="W287" s="386"/>
      <c r="X287" s="503"/>
      <c r="Y287" s="503"/>
      <c r="Z287" s="503"/>
      <c r="AA287" s="503"/>
      <c r="AB287" s="503"/>
      <c r="AC287" s="504"/>
      <c r="AD287" s="504"/>
      <c r="AE287" s="504"/>
      <c r="AF287" s="504"/>
      <c r="AG287" s="505"/>
      <c r="AH287" s="505"/>
    </row>
    <row r="288" spans="2:34" ht="15" x14ac:dyDescent="0.25">
      <c r="B288" s="506" t="s">
        <v>390</v>
      </c>
      <c r="C288" s="501"/>
      <c r="D288" s="501"/>
      <c r="E288" s="501"/>
      <c r="F288" s="501"/>
      <c r="G288" s="501"/>
      <c r="H288" s="501"/>
      <c r="I288" s="501"/>
      <c r="J288" s="501"/>
      <c r="K288" s="501"/>
      <c r="L288" s="349"/>
      <c r="M288" s="349"/>
      <c r="N288" s="349"/>
      <c r="O288" s="349"/>
      <c r="P288" s="349"/>
      <c r="Q288" s="349"/>
      <c r="R288" s="349"/>
      <c r="S288" s="349"/>
      <c r="T288" s="349"/>
      <c r="U288" s="349"/>
      <c r="V288" s="502"/>
      <c r="W288" s="386"/>
      <c r="X288" s="503"/>
      <c r="Y288" s="503"/>
      <c r="Z288" s="503"/>
      <c r="AA288" s="503"/>
      <c r="AB288" s="503"/>
      <c r="AC288" s="504"/>
      <c r="AD288" s="504"/>
      <c r="AE288" s="504"/>
      <c r="AF288" s="504"/>
      <c r="AG288" s="505"/>
      <c r="AH288" s="505"/>
    </row>
    <row r="289" spans="2:34" ht="15" x14ac:dyDescent="0.25">
      <c r="B289" s="506" t="s">
        <v>391</v>
      </c>
      <c r="C289" s="501"/>
      <c r="D289" s="501"/>
      <c r="E289" s="501"/>
      <c r="F289" s="501"/>
      <c r="G289" s="501"/>
      <c r="H289" s="501"/>
      <c r="I289" s="501"/>
      <c r="J289" s="501"/>
      <c r="K289" s="501"/>
      <c r="L289" s="349"/>
      <c r="M289" s="349"/>
      <c r="N289" s="349"/>
      <c r="O289" s="349"/>
      <c r="P289" s="349"/>
      <c r="Q289" s="349"/>
      <c r="R289" s="349"/>
      <c r="S289" s="349"/>
      <c r="T289" s="349"/>
      <c r="U289" s="349"/>
      <c r="V289" s="502"/>
      <c r="W289" s="386"/>
      <c r="X289" s="503"/>
      <c r="Y289" s="503"/>
      <c r="Z289" s="503"/>
      <c r="AA289" s="503"/>
      <c r="AB289" s="503"/>
      <c r="AC289" s="504"/>
      <c r="AD289" s="504"/>
      <c r="AE289" s="504"/>
      <c r="AF289" s="504"/>
      <c r="AG289" s="505"/>
      <c r="AH289" s="505"/>
    </row>
    <row r="290" spans="2:34" ht="15" x14ac:dyDescent="0.25">
      <c r="B290" s="506" t="s">
        <v>392</v>
      </c>
      <c r="C290" s="501"/>
      <c r="D290" s="501"/>
      <c r="E290" s="501"/>
      <c r="F290" s="501"/>
      <c r="G290" s="501"/>
      <c r="H290" s="501"/>
      <c r="I290" s="501"/>
      <c r="J290" s="501"/>
      <c r="K290" s="501"/>
      <c r="L290" s="349"/>
      <c r="M290" s="349"/>
      <c r="N290" s="349"/>
      <c r="O290" s="349"/>
      <c r="P290" s="349"/>
      <c r="Q290" s="349"/>
      <c r="R290" s="349"/>
      <c r="S290" s="349"/>
      <c r="T290" s="349"/>
      <c r="U290" s="349"/>
      <c r="V290" s="502"/>
      <c r="W290" s="386"/>
      <c r="X290" s="503"/>
      <c r="Y290" s="503"/>
      <c r="Z290" s="503"/>
      <c r="AA290" s="503"/>
      <c r="AB290" s="503"/>
      <c r="AC290" s="504"/>
      <c r="AD290" s="504"/>
      <c r="AE290" s="504"/>
      <c r="AF290" s="504"/>
      <c r="AG290" s="505"/>
      <c r="AH290" s="505"/>
    </row>
    <row r="291" spans="2:34" ht="15" x14ac:dyDescent="0.25">
      <c r="B291" s="506" t="s">
        <v>393</v>
      </c>
      <c r="C291" s="501"/>
      <c r="D291" s="501"/>
      <c r="E291" s="501"/>
      <c r="F291" s="501"/>
      <c r="G291" s="501"/>
      <c r="H291" s="501"/>
      <c r="I291" s="501"/>
      <c r="J291" s="501"/>
      <c r="K291" s="501"/>
      <c r="L291" s="349"/>
      <c r="M291" s="349"/>
      <c r="N291" s="349"/>
      <c r="O291" s="349"/>
      <c r="P291" s="349"/>
      <c r="Q291" s="349"/>
      <c r="R291" s="349"/>
      <c r="S291" s="349"/>
      <c r="T291" s="349"/>
      <c r="U291" s="349"/>
      <c r="V291" s="502"/>
      <c r="W291" s="386"/>
      <c r="X291" s="503"/>
      <c r="Y291" s="503"/>
      <c r="Z291" s="503"/>
      <c r="AA291" s="503"/>
      <c r="AB291" s="503"/>
      <c r="AC291" s="504"/>
      <c r="AD291" s="504"/>
      <c r="AE291" s="504"/>
      <c r="AF291" s="504"/>
      <c r="AG291" s="505"/>
      <c r="AH291" s="505"/>
    </row>
    <row r="292" spans="2:34" ht="15" x14ac:dyDescent="0.25">
      <c r="B292" s="506" t="s">
        <v>394</v>
      </c>
      <c r="C292" s="501"/>
      <c r="D292" s="501"/>
      <c r="E292" s="501"/>
      <c r="F292" s="501"/>
      <c r="G292" s="501"/>
      <c r="H292" s="501"/>
      <c r="I292" s="501"/>
      <c r="J292" s="501"/>
      <c r="K292" s="501"/>
      <c r="L292" s="349"/>
      <c r="M292" s="349"/>
      <c r="N292" s="349"/>
      <c r="O292" s="349"/>
      <c r="P292" s="349"/>
      <c r="Q292" s="349"/>
      <c r="R292" s="349"/>
      <c r="S292" s="349"/>
      <c r="T292" s="349"/>
      <c r="U292" s="349"/>
      <c r="V292" s="502"/>
      <c r="W292" s="386"/>
      <c r="X292" s="503"/>
      <c r="Y292" s="503"/>
      <c r="Z292" s="503"/>
      <c r="AA292" s="503"/>
      <c r="AB292" s="503"/>
      <c r="AC292" s="504"/>
      <c r="AD292" s="504"/>
      <c r="AE292" s="504"/>
      <c r="AF292" s="504"/>
      <c r="AG292" s="505"/>
      <c r="AH292" s="505"/>
    </row>
    <row r="293" spans="2:34" ht="15" x14ac:dyDescent="0.25">
      <c r="B293" s="506" t="s">
        <v>395</v>
      </c>
      <c r="C293" s="501"/>
      <c r="D293" s="501"/>
      <c r="E293" s="501"/>
      <c r="F293" s="501"/>
      <c r="G293" s="501"/>
      <c r="H293" s="501"/>
      <c r="I293" s="501"/>
      <c r="J293" s="501"/>
      <c r="K293" s="501"/>
      <c r="L293" s="349"/>
      <c r="M293" s="349"/>
      <c r="N293" s="349"/>
      <c r="O293" s="349"/>
      <c r="P293" s="349"/>
      <c r="Q293" s="349"/>
      <c r="R293" s="349"/>
      <c r="S293" s="349"/>
      <c r="T293" s="349"/>
      <c r="U293" s="349"/>
      <c r="V293" s="502"/>
      <c r="W293" s="386"/>
      <c r="X293" s="503"/>
      <c r="Y293" s="503"/>
      <c r="Z293" s="503"/>
      <c r="AA293" s="503"/>
      <c r="AB293" s="503"/>
      <c r="AC293" s="504"/>
      <c r="AD293" s="504"/>
      <c r="AE293" s="504"/>
      <c r="AF293" s="504"/>
      <c r="AG293" s="505"/>
      <c r="AH293" s="505"/>
    </row>
    <row r="294" spans="2:34" ht="15" x14ac:dyDescent="0.25">
      <c r="B294" s="506" t="s">
        <v>396</v>
      </c>
      <c r="C294" s="501"/>
      <c r="D294" s="501"/>
      <c r="E294" s="501"/>
      <c r="F294" s="501"/>
      <c r="G294" s="501"/>
      <c r="H294" s="501"/>
      <c r="I294" s="501"/>
      <c r="J294" s="501"/>
      <c r="K294" s="501"/>
      <c r="L294" s="349"/>
      <c r="M294" s="349"/>
      <c r="N294" s="349"/>
      <c r="O294" s="349"/>
      <c r="P294" s="349"/>
      <c r="Q294" s="349"/>
      <c r="R294" s="349"/>
      <c r="S294" s="349"/>
      <c r="T294" s="349"/>
      <c r="U294" s="349"/>
      <c r="V294" s="502"/>
      <c r="W294" s="386"/>
      <c r="X294" s="503"/>
      <c r="Y294" s="503"/>
      <c r="Z294" s="503"/>
      <c r="AA294" s="503"/>
      <c r="AB294" s="503"/>
      <c r="AC294" s="504"/>
      <c r="AD294" s="504"/>
      <c r="AE294" s="504"/>
      <c r="AF294" s="504"/>
      <c r="AG294" s="505"/>
      <c r="AH294" s="505"/>
    </row>
    <row r="295" spans="2:34" ht="15" x14ac:dyDescent="0.25">
      <c r="B295" s="506" t="s">
        <v>397</v>
      </c>
      <c r="C295" s="501"/>
      <c r="D295" s="501"/>
      <c r="E295" s="501"/>
      <c r="F295" s="501"/>
      <c r="G295" s="501"/>
      <c r="H295" s="501"/>
      <c r="I295" s="501"/>
      <c r="J295" s="501"/>
      <c r="K295" s="501"/>
      <c r="L295" s="349"/>
      <c r="M295" s="349"/>
      <c r="N295" s="349"/>
      <c r="O295" s="349"/>
      <c r="P295" s="349"/>
      <c r="Q295" s="349"/>
      <c r="R295" s="349"/>
      <c r="S295" s="349"/>
      <c r="T295" s="349"/>
      <c r="U295" s="349"/>
      <c r="V295" s="502"/>
      <c r="W295" s="386"/>
      <c r="X295" s="503"/>
      <c r="Y295" s="503"/>
      <c r="Z295" s="503"/>
      <c r="AA295" s="503"/>
      <c r="AB295" s="503"/>
      <c r="AC295" s="504"/>
      <c r="AD295" s="504"/>
      <c r="AE295" s="504"/>
      <c r="AF295" s="504"/>
      <c r="AG295" s="505"/>
      <c r="AH295" s="505"/>
    </row>
    <row r="296" spans="2:34" ht="15" x14ac:dyDescent="0.25">
      <c r="B296" s="506" t="s">
        <v>398</v>
      </c>
      <c r="C296" s="501"/>
      <c r="D296" s="501"/>
      <c r="E296" s="501"/>
      <c r="F296" s="501"/>
      <c r="G296" s="501"/>
      <c r="H296" s="501"/>
      <c r="I296" s="501"/>
      <c r="J296" s="501"/>
      <c r="K296" s="501"/>
      <c r="L296" s="349"/>
      <c r="M296" s="349"/>
      <c r="N296" s="349"/>
      <c r="O296" s="349"/>
      <c r="P296" s="349"/>
      <c r="Q296" s="349"/>
      <c r="R296" s="349"/>
      <c r="S296" s="349"/>
      <c r="T296" s="349"/>
      <c r="U296" s="349"/>
      <c r="V296" s="502"/>
      <c r="W296" s="386"/>
      <c r="X296" s="503"/>
      <c r="Y296" s="503"/>
      <c r="Z296" s="503"/>
      <c r="AA296" s="503"/>
      <c r="AB296" s="503"/>
      <c r="AC296" s="504"/>
      <c r="AD296" s="504"/>
      <c r="AE296" s="504"/>
      <c r="AF296" s="504"/>
      <c r="AG296" s="505"/>
      <c r="AH296" s="505"/>
    </row>
    <row r="297" spans="2:34" ht="15" x14ac:dyDescent="0.25">
      <c r="B297" s="506" t="s">
        <v>399</v>
      </c>
      <c r="C297" s="501"/>
      <c r="D297" s="501"/>
      <c r="E297" s="501"/>
      <c r="F297" s="501"/>
      <c r="G297" s="501"/>
      <c r="H297" s="501"/>
      <c r="I297" s="501"/>
      <c r="J297" s="501"/>
      <c r="K297" s="501"/>
      <c r="L297" s="349"/>
      <c r="M297" s="349"/>
      <c r="N297" s="349"/>
      <c r="O297" s="349"/>
      <c r="P297" s="349"/>
      <c r="Q297" s="349"/>
      <c r="R297" s="349"/>
      <c r="S297" s="349"/>
      <c r="T297" s="349"/>
      <c r="U297" s="349"/>
      <c r="V297" s="502"/>
      <c r="W297" s="386"/>
      <c r="X297" s="503"/>
      <c r="Y297" s="503"/>
      <c r="Z297" s="503"/>
      <c r="AA297" s="503"/>
      <c r="AB297" s="503"/>
      <c r="AC297" s="504"/>
      <c r="AD297" s="504"/>
      <c r="AE297" s="504"/>
      <c r="AF297" s="504"/>
      <c r="AG297" s="505"/>
      <c r="AH297" s="505"/>
    </row>
    <row r="298" spans="2:34" ht="15" x14ac:dyDescent="0.25">
      <c r="B298" s="506" t="s">
        <v>400</v>
      </c>
      <c r="C298" s="501"/>
      <c r="D298" s="501"/>
      <c r="E298" s="501"/>
      <c r="F298" s="501"/>
      <c r="G298" s="501"/>
      <c r="H298" s="501"/>
      <c r="I298" s="501"/>
      <c r="J298" s="501"/>
      <c r="K298" s="501"/>
      <c r="L298" s="349"/>
      <c r="M298" s="349"/>
      <c r="N298" s="349"/>
      <c r="O298" s="349"/>
      <c r="P298" s="349"/>
      <c r="Q298" s="349"/>
      <c r="R298" s="349"/>
      <c r="S298" s="349"/>
      <c r="T298" s="349"/>
      <c r="U298" s="349"/>
      <c r="V298" s="502"/>
      <c r="W298" s="386"/>
      <c r="X298" s="503"/>
      <c r="Y298" s="503"/>
      <c r="Z298" s="503"/>
      <c r="AA298" s="503"/>
      <c r="AB298" s="503"/>
      <c r="AC298" s="504"/>
      <c r="AD298" s="504"/>
      <c r="AE298" s="504"/>
      <c r="AF298" s="504"/>
      <c r="AG298" s="505"/>
      <c r="AH298" s="505"/>
    </row>
    <row r="299" spans="2:34" ht="15" x14ac:dyDescent="0.25">
      <c r="B299" s="506" t="s">
        <v>401</v>
      </c>
      <c r="C299" s="501"/>
      <c r="D299" s="501"/>
      <c r="E299" s="501"/>
      <c r="F299" s="501"/>
      <c r="G299" s="501"/>
      <c r="H299" s="501"/>
      <c r="I299" s="501"/>
      <c r="J299" s="501"/>
      <c r="K299" s="501"/>
      <c r="L299" s="349"/>
      <c r="M299" s="349"/>
      <c r="N299" s="349"/>
      <c r="O299" s="349"/>
      <c r="P299" s="349"/>
      <c r="Q299" s="349"/>
      <c r="R299" s="349"/>
      <c r="S299" s="349"/>
      <c r="T299" s="349"/>
      <c r="U299" s="349"/>
      <c r="V299" s="502"/>
      <c r="W299" s="386"/>
      <c r="X299" s="503"/>
      <c r="Y299" s="503"/>
      <c r="Z299" s="503"/>
      <c r="AA299" s="503"/>
      <c r="AB299" s="503"/>
      <c r="AC299" s="504"/>
      <c r="AD299" s="504"/>
      <c r="AE299" s="504"/>
      <c r="AF299" s="504"/>
      <c r="AG299" s="505"/>
      <c r="AH299" s="505"/>
    </row>
    <row r="300" spans="2:34" ht="15" x14ac:dyDescent="0.25">
      <c r="B300" s="506" t="s">
        <v>402</v>
      </c>
      <c r="C300" s="501"/>
      <c r="D300" s="501"/>
      <c r="E300" s="501"/>
      <c r="F300" s="501"/>
      <c r="G300" s="501"/>
      <c r="H300" s="501"/>
      <c r="I300" s="501"/>
      <c r="J300" s="501"/>
      <c r="K300" s="501"/>
      <c r="L300" s="349"/>
      <c r="M300" s="349"/>
      <c r="N300" s="349"/>
      <c r="O300" s="349"/>
      <c r="P300" s="349"/>
      <c r="Q300" s="349"/>
      <c r="R300" s="349"/>
      <c r="S300" s="349"/>
      <c r="T300" s="349"/>
      <c r="U300" s="349"/>
      <c r="V300" s="502"/>
      <c r="W300" s="386"/>
      <c r="X300" s="503"/>
      <c r="Y300" s="503"/>
      <c r="Z300" s="503"/>
      <c r="AA300" s="503"/>
      <c r="AB300" s="503"/>
      <c r="AC300" s="504"/>
      <c r="AD300" s="504"/>
      <c r="AE300" s="504"/>
      <c r="AF300" s="504"/>
      <c r="AG300" s="505"/>
      <c r="AH300" s="505"/>
    </row>
    <row r="301" spans="2:34" ht="15" x14ac:dyDescent="0.25">
      <c r="B301" s="506" t="s">
        <v>403</v>
      </c>
      <c r="C301" s="501"/>
      <c r="D301" s="501"/>
      <c r="E301" s="501"/>
      <c r="F301" s="501"/>
      <c r="G301" s="501"/>
      <c r="H301" s="501"/>
      <c r="I301" s="501"/>
      <c r="J301" s="501"/>
      <c r="K301" s="501"/>
      <c r="L301" s="349"/>
      <c r="M301" s="349"/>
      <c r="N301" s="349"/>
      <c r="O301" s="349"/>
      <c r="P301" s="349"/>
      <c r="Q301" s="349"/>
      <c r="R301" s="349"/>
      <c r="S301" s="349"/>
      <c r="T301" s="349"/>
      <c r="U301" s="349"/>
      <c r="V301" s="502"/>
      <c r="W301" s="386"/>
      <c r="X301" s="503"/>
      <c r="Y301" s="503"/>
      <c r="Z301" s="503"/>
      <c r="AA301" s="503"/>
      <c r="AB301" s="503"/>
      <c r="AC301" s="504"/>
      <c r="AD301" s="504"/>
      <c r="AE301" s="504"/>
      <c r="AF301" s="504"/>
      <c r="AG301" s="505"/>
      <c r="AH301" s="505"/>
    </row>
    <row r="302" spans="2:34" ht="15" x14ac:dyDescent="0.25">
      <c r="B302" s="506" t="s">
        <v>404</v>
      </c>
      <c r="C302" s="501"/>
      <c r="D302" s="501"/>
      <c r="E302" s="501"/>
      <c r="F302" s="501"/>
      <c r="G302" s="501"/>
      <c r="H302" s="501"/>
      <c r="I302" s="501"/>
      <c r="J302" s="501"/>
      <c r="K302" s="501"/>
      <c r="L302" s="349"/>
      <c r="M302" s="349"/>
      <c r="N302" s="349"/>
      <c r="O302" s="349"/>
      <c r="P302" s="349"/>
      <c r="Q302" s="349"/>
      <c r="R302" s="349"/>
      <c r="S302" s="349"/>
      <c r="T302" s="349"/>
      <c r="U302" s="349"/>
      <c r="V302" s="502"/>
      <c r="W302" s="386"/>
      <c r="X302" s="503"/>
      <c r="Y302" s="503"/>
      <c r="Z302" s="503"/>
      <c r="AA302" s="503"/>
      <c r="AB302" s="503"/>
      <c r="AC302" s="504"/>
      <c r="AD302" s="504"/>
      <c r="AE302" s="504"/>
      <c r="AF302" s="504"/>
      <c r="AG302" s="505"/>
      <c r="AH302" s="505"/>
    </row>
    <row r="303" spans="2:34" ht="15" x14ac:dyDescent="0.25">
      <c r="B303" s="506" t="s">
        <v>405</v>
      </c>
      <c r="C303" s="501"/>
      <c r="D303" s="501"/>
      <c r="E303" s="501"/>
      <c r="F303" s="501"/>
      <c r="G303" s="501"/>
      <c r="H303" s="501"/>
      <c r="I303" s="501"/>
      <c r="J303" s="501"/>
      <c r="K303" s="501"/>
      <c r="L303" s="349"/>
      <c r="M303" s="349"/>
      <c r="N303" s="349"/>
      <c r="O303" s="349"/>
      <c r="P303" s="349"/>
      <c r="Q303" s="349"/>
      <c r="R303" s="349"/>
      <c r="S303" s="349"/>
      <c r="T303" s="349"/>
      <c r="U303" s="349"/>
      <c r="V303" s="502"/>
      <c r="W303" s="386"/>
      <c r="X303" s="503"/>
      <c r="Y303" s="503"/>
      <c r="Z303" s="503"/>
      <c r="AA303" s="503"/>
      <c r="AB303" s="503"/>
      <c r="AC303" s="504"/>
      <c r="AD303" s="504"/>
      <c r="AE303" s="504"/>
      <c r="AF303" s="504"/>
      <c r="AG303" s="505"/>
      <c r="AH303" s="505"/>
    </row>
    <row r="304" spans="2:34" ht="15" x14ac:dyDescent="0.25">
      <c r="B304" s="506" t="s">
        <v>406</v>
      </c>
      <c r="C304" s="501"/>
      <c r="D304" s="501"/>
      <c r="E304" s="501"/>
      <c r="F304" s="501"/>
      <c r="G304" s="501"/>
      <c r="H304" s="501"/>
      <c r="I304" s="501"/>
      <c r="J304" s="501"/>
      <c r="K304" s="501"/>
      <c r="L304" s="349"/>
      <c r="M304" s="349"/>
      <c r="N304" s="349"/>
      <c r="O304" s="349"/>
      <c r="P304" s="349"/>
      <c r="Q304" s="349"/>
      <c r="R304" s="349"/>
      <c r="S304" s="349"/>
      <c r="T304" s="349"/>
      <c r="U304" s="349"/>
      <c r="V304" s="502"/>
      <c r="W304" s="386"/>
      <c r="X304" s="503"/>
      <c r="Y304" s="503"/>
      <c r="Z304" s="503"/>
      <c r="AA304" s="503"/>
      <c r="AB304" s="503"/>
      <c r="AC304" s="504"/>
      <c r="AD304" s="504"/>
      <c r="AE304" s="504"/>
      <c r="AF304" s="504"/>
      <c r="AG304" s="505"/>
      <c r="AH304" s="505"/>
    </row>
    <row r="305" spans="2:34" ht="15" x14ac:dyDescent="0.25">
      <c r="B305" s="506" t="s">
        <v>407</v>
      </c>
      <c r="C305" s="501"/>
      <c r="D305" s="501"/>
      <c r="E305" s="501"/>
      <c r="F305" s="501"/>
      <c r="G305" s="501"/>
      <c r="H305" s="501"/>
      <c r="I305" s="501"/>
      <c r="J305" s="501"/>
      <c r="K305" s="501"/>
      <c r="L305" s="349"/>
      <c r="M305" s="349"/>
      <c r="N305" s="349"/>
      <c r="O305" s="349"/>
      <c r="P305" s="349"/>
      <c r="Q305" s="349"/>
      <c r="R305" s="349"/>
      <c r="S305" s="349"/>
      <c r="T305" s="349"/>
      <c r="U305" s="349"/>
      <c r="V305" s="502"/>
      <c r="W305" s="386"/>
      <c r="X305" s="503"/>
      <c r="Y305" s="503"/>
      <c r="Z305" s="503"/>
      <c r="AA305" s="503"/>
      <c r="AB305" s="503"/>
      <c r="AC305" s="504"/>
      <c r="AD305" s="504"/>
      <c r="AE305" s="504"/>
      <c r="AF305" s="504"/>
      <c r="AG305" s="505"/>
      <c r="AH305" s="505"/>
    </row>
    <row r="306" spans="2:34" ht="15" x14ac:dyDescent="0.25">
      <c r="B306" s="506" t="s">
        <v>408</v>
      </c>
      <c r="C306" s="501"/>
      <c r="D306" s="501"/>
      <c r="E306" s="501"/>
      <c r="F306" s="501"/>
      <c r="G306" s="501"/>
      <c r="H306" s="501"/>
      <c r="I306" s="501"/>
      <c r="J306" s="501"/>
      <c r="K306" s="501"/>
      <c r="L306" s="349"/>
      <c r="M306" s="349"/>
      <c r="N306" s="349"/>
      <c r="O306" s="349"/>
      <c r="P306" s="349"/>
      <c r="Q306" s="349"/>
      <c r="R306" s="349"/>
      <c r="S306" s="349"/>
      <c r="T306" s="349"/>
      <c r="U306" s="349"/>
      <c r="V306" s="502"/>
      <c r="W306" s="386"/>
      <c r="X306" s="503"/>
      <c r="Y306" s="503"/>
      <c r="Z306" s="503"/>
      <c r="AA306" s="503"/>
      <c r="AB306" s="503"/>
      <c r="AC306" s="504"/>
      <c r="AD306" s="504"/>
      <c r="AE306" s="504"/>
      <c r="AF306" s="504"/>
      <c r="AG306" s="505"/>
      <c r="AH306" s="505"/>
    </row>
    <row r="307" spans="2:34" ht="15" x14ac:dyDescent="0.25">
      <c r="B307" s="506" t="s">
        <v>409</v>
      </c>
      <c r="C307" s="501"/>
      <c r="D307" s="501"/>
      <c r="E307" s="501"/>
      <c r="F307" s="501"/>
      <c r="G307" s="501"/>
      <c r="H307" s="501"/>
      <c r="I307" s="501"/>
      <c r="J307" s="501"/>
      <c r="K307" s="501"/>
      <c r="L307" s="349"/>
      <c r="M307" s="349"/>
      <c r="N307" s="349"/>
      <c r="O307" s="349"/>
      <c r="P307" s="349"/>
      <c r="Q307" s="349"/>
      <c r="R307" s="349"/>
      <c r="S307" s="349"/>
      <c r="T307" s="349"/>
      <c r="U307" s="349"/>
      <c r="V307" s="502"/>
      <c r="W307" s="386"/>
      <c r="X307" s="503"/>
      <c r="Y307" s="503"/>
      <c r="Z307" s="503"/>
      <c r="AA307" s="503"/>
      <c r="AB307" s="503"/>
      <c r="AC307" s="504"/>
      <c r="AD307" s="504"/>
      <c r="AE307" s="504"/>
      <c r="AF307" s="504"/>
      <c r="AG307" s="505"/>
      <c r="AH307" s="505"/>
    </row>
    <row r="308" spans="2:34" ht="15" x14ac:dyDescent="0.25">
      <c r="B308" s="506" t="s">
        <v>410</v>
      </c>
      <c r="C308" s="501"/>
      <c r="D308" s="501"/>
      <c r="E308" s="501"/>
      <c r="F308" s="501"/>
      <c r="G308" s="501"/>
      <c r="H308" s="501"/>
      <c r="I308" s="501"/>
      <c r="J308" s="501"/>
      <c r="K308" s="501"/>
      <c r="L308" s="349"/>
      <c r="M308" s="349"/>
      <c r="N308" s="349"/>
      <c r="O308" s="349"/>
      <c r="P308" s="349"/>
      <c r="Q308" s="349"/>
      <c r="R308" s="349"/>
      <c r="S308" s="349"/>
      <c r="T308" s="349"/>
      <c r="U308" s="349"/>
      <c r="V308" s="502"/>
      <c r="W308" s="386"/>
      <c r="X308" s="503"/>
      <c r="Y308" s="503"/>
      <c r="Z308" s="503"/>
      <c r="AA308" s="503"/>
      <c r="AB308" s="503"/>
      <c r="AC308" s="504"/>
      <c r="AD308" s="504"/>
      <c r="AE308" s="504"/>
      <c r="AF308" s="504"/>
      <c r="AG308" s="505"/>
      <c r="AH308" s="505"/>
    </row>
    <row r="309" spans="2:34" ht="15" x14ac:dyDescent="0.25">
      <c r="B309" s="506" t="s">
        <v>411</v>
      </c>
      <c r="C309" s="501"/>
      <c r="D309" s="501"/>
      <c r="E309" s="501"/>
      <c r="F309" s="501"/>
      <c r="G309" s="501"/>
      <c r="H309" s="501"/>
      <c r="I309" s="501"/>
      <c r="J309" s="501"/>
      <c r="K309" s="501"/>
      <c r="L309" s="349"/>
      <c r="M309" s="349"/>
      <c r="N309" s="349"/>
      <c r="O309" s="349"/>
      <c r="P309" s="349"/>
      <c r="Q309" s="349"/>
      <c r="R309" s="349"/>
      <c r="S309" s="349"/>
      <c r="T309" s="349"/>
      <c r="U309" s="349"/>
      <c r="V309" s="502"/>
      <c r="W309" s="386"/>
      <c r="X309" s="503"/>
      <c r="Y309" s="503"/>
      <c r="Z309" s="503"/>
      <c r="AA309" s="503"/>
      <c r="AB309" s="503"/>
      <c r="AC309" s="504"/>
      <c r="AD309" s="504"/>
      <c r="AE309" s="504"/>
      <c r="AF309" s="504"/>
      <c r="AG309" s="505"/>
      <c r="AH309" s="505"/>
    </row>
    <row r="310" spans="2:34" ht="15" x14ac:dyDescent="0.25">
      <c r="B310" s="506" t="s">
        <v>412</v>
      </c>
      <c r="C310" s="501"/>
      <c r="D310" s="501"/>
      <c r="E310" s="501"/>
      <c r="F310" s="501"/>
      <c r="G310" s="501"/>
      <c r="H310" s="501"/>
      <c r="I310" s="501"/>
      <c r="J310" s="501"/>
      <c r="K310" s="501"/>
      <c r="L310" s="349"/>
      <c r="M310" s="349"/>
      <c r="N310" s="349"/>
      <c r="O310" s="349"/>
      <c r="P310" s="349"/>
      <c r="Q310" s="349"/>
      <c r="R310" s="349"/>
      <c r="S310" s="349"/>
      <c r="T310" s="349"/>
      <c r="U310" s="349"/>
      <c r="V310" s="502"/>
      <c r="W310" s="386"/>
      <c r="X310" s="503"/>
      <c r="Y310" s="503"/>
      <c r="Z310" s="503"/>
      <c r="AA310" s="503"/>
      <c r="AB310" s="503"/>
      <c r="AC310" s="504"/>
      <c r="AD310" s="504"/>
      <c r="AE310" s="504"/>
      <c r="AF310" s="504"/>
      <c r="AG310" s="505"/>
      <c r="AH310" s="505"/>
    </row>
    <row r="311" spans="2:34" ht="15" x14ac:dyDescent="0.25">
      <c r="B311" s="506" t="s">
        <v>413</v>
      </c>
      <c r="C311" s="501"/>
      <c r="D311" s="501"/>
      <c r="E311" s="501"/>
      <c r="F311" s="501"/>
      <c r="G311" s="501"/>
      <c r="H311" s="501"/>
      <c r="I311" s="501"/>
      <c r="J311" s="501"/>
      <c r="K311" s="501"/>
      <c r="L311" s="349"/>
      <c r="M311" s="349"/>
      <c r="N311" s="349"/>
      <c r="O311" s="349"/>
      <c r="P311" s="349"/>
      <c r="Q311" s="349"/>
      <c r="R311" s="349"/>
      <c r="S311" s="349"/>
      <c r="T311" s="349"/>
      <c r="U311" s="349"/>
      <c r="V311" s="502"/>
      <c r="W311" s="386"/>
      <c r="X311" s="503"/>
      <c r="Y311" s="503"/>
      <c r="Z311" s="503"/>
      <c r="AA311" s="503"/>
      <c r="AB311" s="503"/>
      <c r="AC311" s="504"/>
      <c r="AD311" s="504"/>
      <c r="AE311" s="504"/>
      <c r="AF311" s="504"/>
      <c r="AG311" s="505"/>
      <c r="AH311" s="505"/>
    </row>
    <row r="312" spans="2:34" ht="15" x14ac:dyDescent="0.25">
      <c r="B312" s="506" t="s">
        <v>414</v>
      </c>
      <c r="C312" s="501"/>
      <c r="D312" s="501"/>
      <c r="E312" s="501"/>
      <c r="F312" s="501"/>
      <c r="G312" s="501"/>
      <c r="H312" s="501"/>
      <c r="I312" s="501"/>
      <c r="J312" s="501"/>
      <c r="K312" s="501"/>
      <c r="L312" s="349"/>
      <c r="M312" s="349"/>
      <c r="N312" s="349"/>
      <c r="O312" s="349"/>
      <c r="P312" s="349"/>
      <c r="Q312" s="349"/>
      <c r="R312" s="349"/>
      <c r="S312" s="349"/>
      <c r="T312" s="349"/>
      <c r="U312" s="349"/>
      <c r="V312" s="502"/>
      <c r="W312" s="386"/>
      <c r="X312" s="503"/>
      <c r="Y312" s="503"/>
      <c r="Z312" s="503"/>
      <c r="AA312" s="503"/>
      <c r="AB312" s="503"/>
      <c r="AC312" s="504"/>
      <c r="AD312" s="504"/>
      <c r="AE312" s="504"/>
      <c r="AF312" s="504"/>
      <c r="AG312" s="505"/>
      <c r="AH312" s="505"/>
    </row>
    <row r="313" spans="2:34" ht="15" x14ac:dyDescent="0.25">
      <c r="B313" s="506" t="s">
        <v>415</v>
      </c>
      <c r="C313" s="501"/>
      <c r="D313" s="501"/>
      <c r="E313" s="501"/>
      <c r="F313" s="501"/>
      <c r="G313" s="501"/>
      <c r="H313" s="501"/>
      <c r="I313" s="501"/>
      <c r="J313" s="501"/>
      <c r="K313" s="501"/>
      <c r="L313" s="349"/>
      <c r="M313" s="349"/>
      <c r="N313" s="349"/>
      <c r="O313" s="349"/>
      <c r="P313" s="349"/>
      <c r="Q313" s="349"/>
      <c r="R313" s="349"/>
      <c r="S313" s="349"/>
      <c r="T313" s="349"/>
      <c r="U313" s="349"/>
      <c r="V313" s="502"/>
      <c r="W313" s="386"/>
      <c r="X313" s="503"/>
      <c r="Y313" s="503"/>
      <c r="Z313" s="503"/>
      <c r="AA313" s="503"/>
      <c r="AB313" s="503"/>
      <c r="AC313" s="504"/>
      <c r="AD313" s="504"/>
      <c r="AE313" s="504"/>
      <c r="AF313" s="504"/>
      <c r="AG313" s="505"/>
      <c r="AH313" s="505"/>
    </row>
    <row r="314" spans="2:34" ht="15" x14ac:dyDescent="0.25">
      <c r="B314" s="506" t="s">
        <v>416</v>
      </c>
      <c r="C314" s="501"/>
      <c r="D314" s="501"/>
      <c r="E314" s="501"/>
      <c r="F314" s="501"/>
      <c r="G314" s="501"/>
      <c r="H314" s="501"/>
      <c r="I314" s="501"/>
      <c r="J314" s="501"/>
      <c r="K314" s="501"/>
      <c r="L314" s="349"/>
      <c r="M314" s="349"/>
      <c r="N314" s="349"/>
      <c r="O314" s="349"/>
      <c r="P314" s="349"/>
      <c r="Q314" s="349"/>
      <c r="R314" s="349"/>
      <c r="S314" s="349"/>
      <c r="T314" s="349"/>
      <c r="U314" s="349"/>
      <c r="V314" s="502"/>
      <c r="W314" s="386"/>
      <c r="X314" s="503"/>
      <c r="Y314" s="503"/>
      <c r="Z314" s="503"/>
      <c r="AA314" s="503"/>
      <c r="AB314" s="503"/>
      <c r="AC314" s="504"/>
      <c r="AD314" s="504"/>
      <c r="AE314" s="504"/>
      <c r="AF314" s="504"/>
      <c r="AG314" s="505"/>
      <c r="AH314" s="505"/>
    </row>
    <row r="315" spans="2:34" ht="15" x14ac:dyDescent="0.25">
      <c r="B315" s="506" t="s">
        <v>417</v>
      </c>
      <c r="C315" s="501"/>
      <c r="D315" s="501"/>
      <c r="E315" s="501"/>
      <c r="F315" s="501"/>
      <c r="G315" s="501"/>
      <c r="H315" s="501"/>
      <c r="I315" s="501"/>
      <c r="J315" s="501"/>
      <c r="K315" s="501"/>
      <c r="L315" s="349"/>
      <c r="M315" s="349"/>
      <c r="N315" s="349"/>
      <c r="O315" s="349"/>
      <c r="P315" s="349"/>
      <c r="Q315" s="349"/>
      <c r="R315" s="349"/>
      <c r="S315" s="349"/>
      <c r="T315" s="349"/>
      <c r="U315" s="349"/>
      <c r="V315" s="502"/>
      <c r="W315" s="386"/>
      <c r="X315" s="503"/>
      <c r="Y315" s="503"/>
      <c r="Z315" s="503"/>
      <c r="AA315" s="503"/>
      <c r="AB315" s="503"/>
      <c r="AC315" s="504"/>
      <c r="AD315" s="504"/>
      <c r="AE315" s="504"/>
      <c r="AF315" s="504"/>
      <c r="AG315" s="505"/>
      <c r="AH315" s="505"/>
    </row>
    <row r="316" spans="2:34" ht="15" x14ac:dyDescent="0.25">
      <c r="B316" s="506" t="s">
        <v>418</v>
      </c>
      <c r="C316" s="501"/>
      <c r="D316" s="501"/>
      <c r="E316" s="501"/>
      <c r="F316" s="501"/>
      <c r="G316" s="501"/>
      <c r="H316" s="501"/>
      <c r="I316" s="501"/>
      <c r="J316" s="501"/>
      <c r="K316" s="501"/>
      <c r="L316" s="349"/>
      <c r="M316" s="349"/>
      <c r="N316" s="349"/>
      <c r="O316" s="349"/>
      <c r="P316" s="349"/>
      <c r="Q316" s="349"/>
      <c r="R316" s="349"/>
      <c r="S316" s="349"/>
      <c r="T316" s="349"/>
      <c r="U316" s="349"/>
      <c r="V316" s="502"/>
      <c r="W316" s="386"/>
      <c r="X316" s="503"/>
      <c r="Y316" s="503"/>
      <c r="Z316" s="503"/>
      <c r="AA316" s="503"/>
      <c r="AB316" s="503"/>
      <c r="AC316" s="504"/>
      <c r="AD316" s="504"/>
      <c r="AE316" s="504"/>
      <c r="AF316" s="504"/>
      <c r="AG316" s="505"/>
      <c r="AH316" s="505"/>
    </row>
    <row r="317" spans="2:34" ht="15" x14ac:dyDescent="0.25">
      <c r="B317" s="506" t="s">
        <v>419</v>
      </c>
      <c r="C317" s="501"/>
      <c r="D317" s="501"/>
      <c r="E317" s="501"/>
      <c r="F317" s="501"/>
      <c r="G317" s="501"/>
      <c r="H317" s="501"/>
      <c r="I317" s="501"/>
      <c r="J317" s="501"/>
      <c r="K317" s="501"/>
      <c r="L317" s="349"/>
      <c r="M317" s="349"/>
      <c r="N317" s="349"/>
      <c r="O317" s="349"/>
      <c r="P317" s="349"/>
      <c r="Q317" s="349"/>
      <c r="R317" s="349"/>
      <c r="S317" s="349"/>
      <c r="T317" s="349"/>
      <c r="U317" s="349"/>
      <c r="V317" s="502"/>
      <c r="W317" s="386"/>
      <c r="X317" s="503"/>
      <c r="Y317" s="503"/>
      <c r="Z317" s="503"/>
      <c r="AA317" s="503"/>
      <c r="AB317" s="503"/>
      <c r="AC317" s="504"/>
      <c r="AD317" s="504"/>
      <c r="AE317" s="504"/>
      <c r="AF317" s="504"/>
      <c r="AG317" s="505"/>
      <c r="AH317" s="505"/>
    </row>
    <row r="318" spans="2:34" ht="15" x14ac:dyDescent="0.25">
      <c r="B318" s="506" t="s">
        <v>420</v>
      </c>
      <c r="C318" s="501"/>
      <c r="D318" s="501"/>
      <c r="E318" s="501"/>
      <c r="F318" s="501"/>
      <c r="G318" s="501"/>
      <c r="H318" s="501"/>
      <c r="I318" s="501"/>
      <c r="J318" s="501"/>
      <c r="K318" s="501"/>
      <c r="L318" s="349"/>
      <c r="M318" s="349"/>
      <c r="N318" s="349"/>
      <c r="O318" s="349"/>
      <c r="P318" s="349"/>
      <c r="Q318" s="349"/>
      <c r="R318" s="349"/>
      <c r="S318" s="349"/>
      <c r="T318" s="349"/>
      <c r="U318" s="349"/>
      <c r="V318" s="502"/>
      <c r="W318" s="386"/>
      <c r="X318" s="503"/>
      <c r="Y318" s="503"/>
      <c r="Z318" s="503"/>
      <c r="AA318" s="503"/>
      <c r="AB318" s="503"/>
      <c r="AC318" s="504"/>
      <c r="AD318" s="504"/>
      <c r="AE318" s="504"/>
      <c r="AF318" s="504"/>
      <c r="AG318" s="505"/>
      <c r="AH318" s="505"/>
    </row>
    <row r="319" spans="2:34" ht="15" x14ac:dyDescent="0.25">
      <c r="B319" s="506" t="s">
        <v>421</v>
      </c>
      <c r="C319" s="501"/>
      <c r="D319" s="501"/>
      <c r="E319" s="501"/>
      <c r="F319" s="501"/>
      <c r="G319" s="501"/>
      <c r="H319" s="501"/>
      <c r="I319" s="501"/>
      <c r="J319" s="501"/>
      <c r="K319" s="501"/>
      <c r="L319" s="349"/>
      <c r="M319" s="349"/>
      <c r="N319" s="349"/>
      <c r="O319" s="349"/>
      <c r="P319" s="349"/>
      <c r="Q319" s="349"/>
      <c r="R319" s="349"/>
      <c r="S319" s="349"/>
      <c r="T319" s="349"/>
      <c r="U319" s="349"/>
      <c r="V319" s="502"/>
      <c r="W319" s="386"/>
      <c r="X319" s="503"/>
      <c r="Y319" s="503"/>
      <c r="Z319" s="503"/>
      <c r="AA319" s="503"/>
      <c r="AB319" s="503"/>
      <c r="AC319" s="504"/>
      <c r="AD319" s="504"/>
      <c r="AE319" s="504"/>
      <c r="AF319" s="504"/>
      <c r="AG319" s="505"/>
      <c r="AH319" s="505"/>
    </row>
    <row r="320" spans="2:34" ht="15" x14ac:dyDescent="0.25">
      <c r="B320" s="506" t="s">
        <v>422</v>
      </c>
      <c r="C320" s="501"/>
      <c r="D320" s="501"/>
      <c r="E320" s="501"/>
      <c r="F320" s="501"/>
      <c r="G320" s="501"/>
      <c r="H320" s="501"/>
      <c r="I320" s="501"/>
      <c r="J320" s="501"/>
      <c r="K320" s="501"/>
      <c r="L320" s="349"/>
      <c r="M320" s="349"/>
      <c r="N320" s="349"/>
      <c r="O320" s="349"/>
      <c r="P320" s="349"/>
      <c r="Q320" s="349"/>
      <c r="R320" s="349"/>
      <c r="S320" s="349"/>
      <c r="T320" s="349"/>
      <c r="U320" s="349"/>
      <c r="V320" s="502"/>
      <c r="W320" s="386"/>
      <c r="X320" s="503"/>
      <c r="Y320" s="503"/>
      <c r="Z320" s="503"/>
      <c r="AA320" s="503"/>
      <c r="AB320" s="503"/>
      <c r="AC320" s="504"/>
      <c r="AD320" s="504"/>
      <c r="AE320" s="504"/>
      <c r="AF320" s="504"/>
      <c r="AG320" s="505"/>
      <c r="AH320" s="505"/>
    </row>
    <row r="321" spans="2:34" ht="15" x14ac:dyDescent="0.25">
      <c r="B321" s="506" t="s">
        <v>423</v>
      </c>
      <c r="C321" s="501"/>
      <c r="D321" s="501"/>
      <c r="E321" s="501"/>
      <c r="F321" s="501"/>
      <c r="G321" s="501"/>
      <c r="H321" s="501"/>
      <c r="I321" s="501"/>
      <c r="J321" s="501"/>
      <c r="K321" s="501"/>
      <c r="L321" s="349"/>
      <c r="M321" s="349"/>
      <c r="N321" s="349"/>
      <c r="O321" s="349"/>
      <c r="P321" s="349"/>
      <c r="Q321" s="349"/>
      <c r="R321" s="349"/>
      <c r="S321" s="349"/>
      <c r="T321" s="349"/>
      <c r="U321" s="349"/>
      <c r="V321" s="502"/>
      <c r="W321" s="386"/>
      <c r="X321" s="503"/>
      <c r="Y321" s="503"/>
      <c r="Z321" s="503"/>
      <c r="AA321" s="503"/>
      <c r="AB321" s="503"/>
      <c r="AC321" s="504"/>
      <c r="AD321" s="504"/>
      <c r="AE321" s="504"/>
      <c r="AF321" s="504"/>
      <c r="AG321" s="505"/>
      <c r="AH321" s="505"/>
    </row>
    <row r="322" spans="2:34" ht="15" x14ac:dyDescent="0.25">
      <c r="B322" s="506" t="s">
        <v>424</v>
      </c>
      <c r="C322" s="501"/>
      <c r="D322" s="501"/>
      <c r="E322" s="501"/>
      <c r="F322" s="501"/>
      <c r="G322" s="501"/>
      <c r="H322" s="501"/>
      <c r="I322" s="501"/>
      <c r="J322" s="501"/>
      <c r="K322" s="501"/>
      <c r="L322" s="349"/>
      <c r="M322" s="349"/>
      <c r="N322" s="349"/>
      <c r="O322" s="349"/>
      <c r="P322" s="349"/>
      <c r="Q322" s="349"/>
      <c r="R322" s="349"/>
      <c r="S322" s="349"/>
      <c r="T322" s="349"/>
      <c r="U322" s="349"/>
      <c r="V322" s="502"/>
      <c r="W322" s="386"/>
      <c r="X322" s="503"/>
      <c r="Y322" s="503"/>
      <c r="Z322" s="503"/>
      <c r="AA322" s="503"/>
      <c r="AB322" s="503"/>
      <c r="AC322" s="504"/>
      <c r="AD322" s="504"/>
      <c r="AE322" s="504"/>
      <c r="AF322" s="504"/>
      <c r="AG322" s="505"/>
      <c r="AH322" s="505"/>
    </row>
    <row r="323" spans="2:34" ht="15" x14ac:dyDescent="0.25">
      <c r="B323" s="506" t="s">
        <v>425</v>
      </c>
      <c r="C323" s="501"/>
      <c r="D323" s="501"/>
      <c r="E323" s="501"/>
      <c r="F323" s="501"/>
      <c r="G323" s="501"/>
      <c r="H323" s="501"/>
      <c r="I323" s="501"/>
      <c r="J323" s="501"/>
      <c r="K323" s="501"/>
      <c r="L323" s="349"/>
      <c r="M323" s="349"/>
      <c r="N323" s="349"/>
      <c r="O323" s="349"/>
      <c r="P323" s="349"/>
      <c r="Q323" s="349"/>
      <c r="R323" s="349"/>
      <c r="S323" s="349"/>
      <c r="T323" s="349"/>
      <c r="U323" s="349"/>
      <c r="V323" s="502"/>
      <c r="W323" s="386"/>
      <c r="X323" s="503"/>
      <c r="Y323" s="503"/>
      <c r="Z323" s="503"/>
      <c r="AA323" s="503"/>
      <c r="AB323" s="503"/>
      <c r="AC323" s="504"/>
      <c r="AD323" s="504"/>
      <c r="AE323" s="504"/>
      <c r="AF323" s="504"/>
      <c r="AG323" s="505"/>
      <c r="AH323" s="505"/>
    </row>
    <row r="324" spans="2:34" ht="15" x14ac:dyDescent="0.25">
      <c r="B324" s="506" t="s">
        <v>426</v>
      </c>
      <c r="C324" s="501"/>
      <c r="D324" s="501"/>
      <c r="E324" s="501"/>
      <c r="F324" s="501"/>
      <c r="G324" s="501"/>
      <c r="H324" s="501"/>
      <c r="I324" s="501"/>
      <c r="J324" s="501"/>
      <c r="K324" s="501"/>
      <c r="L324" s="349"/>
      <c r="M324" s="349"/>
      <c r="N324" s="349"/>
      <c r="O324" s="349"/>
      <c r="P324" s="349"/>
      <c r="Q324" s="349"/>
      <c r="R324" s="349"/>
      <c r="S324" s="349"/>
      <c r="T324" s="349"/>
      <c r="U324" s="349"/>
      <c r="V324" s="502"/>
      <c r="W324" s="386"/>
      <c r="X324" s="503"/>
      <c r="Y324" s="503"/>
      <c r="Z324" s="503"/>
      <c r="AA324" s="503"/>
      <c r="AB324" s="503"/>
      <c r="AC324" s="504"/>
      <c r="AD324" s="504"/>
      <c r="AE324" s="504"/>
      <c r="AF324" s="504"/>
      <c r="AG324" s="505"/>
      <c r="AH324" s="505"/>
    </row>
    <row r="325" spans="2:34" ht="15" x14ac:dyDescent="0.25">
      <c r="B325" s="506" t="s">
        <v>427</v>
      </c>
      <c r="C325" s="501"/>
      <c r="D325" s="501"/>
      <c r="E325" s="501"/>
      <c r="F325" s="501"/>
      <c r="G325" s="501"/>
      <c r="H325" s="501"/>
      <c r="I325" s="501"/>
      <c r="J325" s="501"/>
      <c r="K325" s="501"/>
      <c r="L325" s="349"/>
      <c r="M325" s="349"/>
      <c r="N325" s="349"/>
      <c r="O325" s="349"/>
      <c r="P325" s="349"/>
      <c r="Q325" s="349"/>
      <c r="R325" s="349"/>
      <c r="S325" s="349"/>
      <c r="T325" s="349"/>
      <c r="U325" s="349"/>
      <c r="V325" s="502"/>
      <c r="W325" s="386"/>
      <c r="X325" s="503"/>
      <c r="Y325" s="503"/>
      <c r="Z325" s="503"/>
      <c r="AA325" s="503"/>
      <c r="AB325" s="503"/>
      <c r="AC325" s="504"/>
      <c r="AD325" s="504"/>
      <c r="AE325" s="504"/>
      <c r="AF325" s="504"/>
      <c r="AG325" s="505"/>
      <c r="AH325" s="505"/>
    </row>
    <row r="326" spans="2:34" ht="15" x14ac:dyDescent="0.25">
      <c r="B326" s="506" t="s">
        <v>428</v>
      </c>
      <c r="C326" s="501"/>
      <c r="D326" s="501"/>
      <c r="E326" s="501"/>
      <c r="F326" s="501"/>
      <c r="G326" s="501"/>
      <c r="H326" s="501"/>
      <c r="I326" s="501"/>
      <c r="J326" s="501"/>
      <c r="K326" s="501"/>
      <c r="L326" s="349"/>
      <c r="M326" s="349"/>
      <c r="N326" s="349"/>
      <c r="O326" s="349"/>
      <c r="P326" s="349"/>
      <c r="Q326" s="349"/>
      <c r="R326" s="349"/>
      <c r="S326" s="349"/>
      <c r="T326" s="349"/>
      <c r="U326" s="349"/>
      <c r="V326" s="502"/>
      <c r="W326" s="386"/>
      <c r="X326" s="503"/>
      <c r="Y326" s="503"/>
      <c r="Z326" s="503"/>
      <c r="AA326" s="503"/>
      <c r="AB326" s="503"/>
      <c r="AC326" s="504"/>
      <c r="AD326" s="504"/>
      <c r="AE326" s="504"/>
      <c r="AF326" s="504"/>
      <c r="AG326" s="505"/>
      <c r="AH326" s="505"/>
    </row>
    <row r="327" spans="2:34" ht="15" x14ac:dyDescent="0.25">
      <c r="B327" s="506" t="s">
        <v>429</v>
      </c>
      <c r="C327" s="501"/>
      <c r="D327" s="501"/>
      <c r="E327" s="501"/>
      <c r="F327" s="501"/>
      <c r="G327" s="501"/>
      <c r="H327" s="501"/>
      <c r="I327" s="501"/>
      <c r="J327" s="501"/>
      <c r="K327" s="501"/>
      <c r="L327" s="349"/>
      <c r="M327" s="349"/>
      <c r="N327" s="349"/>
      <c r="O327" s="349"/>
      <c r="P327" s="349"/>
      <c r="Q327" s="349"/>
      <c r="R327" s="349"/>
      <c r="S327" s="349"/>
      <c r="T327" s="349"/>
      <c r="U327" s="349"/>
      <c r="V327" s="502"/>
      <c r="W327" s="386"/>
      <c r="X327" s="503"/>
      <c r="Y327" s="503"/>
      <c r="Z327" s="503"/>
      <c r="AA327" s="503"/>
      <c r="AB327" s="503"/>
      <c r="AC327" s="504"/>
      <c r="AD327" s="504"/>
      <c r="AE327" s="504"/>
      <c r="AF327" s="504"/>
      <c r="AG327" s="505"/>
      <c r="AH327" s="505"/>
    </row>
    <row r="328" spans="2:34" ht="15" x14ac:dyDescent="0.25">
      <c r="B328" s="506" t="s">
        <v>430</v>
      </c>
      <c r="C328" s="501"/>
      <c r="D328" s="501"/>
      <c r="E328" s="501"/>
      <c r="F328" s="501"/>
      <c r="G328" s="501"/>
      <c r="H328" s="501"/>
      <c r="I328" s="501"/>
      <c r="J328" s="501"/>
      <c r="K328" s="501"/>
      <c r="L328" s="349"/>
      <c r="M328" s="349"/>
      <c r="N328" s="349"/>
      <c r="O328" s="349"/>
      <c r="P328" s="349"/>
      <c r="Q328" s="349"/>
      <c r="R328" s="349"/>
      <c r="S328" s="349"/>
      <c r="T328" s="349"/>
      <c r="U328" s="349"/>
      <c r="V328" s="502"/>
      <c r="W328" s="386"/>
      <c r="X328" s="503"/>
      <c r="Y328" s="503"/>
      <c r="Z328" s="503"/>
      <c r="AA328" s="503"/>
      <c r="AB328" s="503"/>
      <c r="AC328" s="504"/>
      <c r="AD328" s="504"/>
      <c r="AE328" s="504"/>
      <c r="AF328" s="504"/>
      <c r="AG328" s="505"/>
      <c r="AH328" s="505"/>
    </row>
    <row r="329" spans="2:34" ht="15" x14ac:dyDescent="0.25">
      <c r="B329" s="506" t="s">
        <v>431</v>
      </c>
      <c r="C329" s="501"/>
      <c r="D329" s="501"/>
      <c r="E329" s="501"/>
      <c r="F329" s="501"/>
      <c r="G329" s="501"/>
      <c r="H329" s="501"/>
      <c r="I329" s="501"/>
      <c r="J329" s="501"/>
      <c r="K329" s="501"/>
      <c r="L329" s="349"/>
      <c r="M329" s="349"/>
      <c r="N329" s="349"/>
      <c r="O329" s="349"/>
      <c r="P329" s="349"/>
      <c r="Q329" s="349"/>
      <c r="R329" s="349"/>
      <c r="S329" s="349"/>
      <c r="T329" s="349"/>
      <c r="U329" s="349"/>
      <c r="V329" s="502"/>
      <c r="W329" s="386"/>
      <c r="X329" s="503"/>
      <c r="Y329" s="503"/>
      <c r="Z329" s="503"/>
      <c r="AA329" s="503"/>
      <c r="AB329" s="503"/>
      <c r="AC329" s="504"/>
      <c r="AD329" s="504"/>
      <c r="AE329" s="504"/>
      <c r="AF329" s="504"/>
      <c r="AG329" s="505"/>
      <c r="AH329" s="505"/>
    </row>
    <row r="330" spans="2:34" ht="15" x14ac:dyDescent="0.25">
      <c r="B330" s="506" t="s">
        <v>432</v>
      </c>
      <c r="C330" s="501"/>
      <c r="D330" s="501"/>
      <c r="E330" s="501"/>
      <c r="F330" s="501"/>
      <c r="G330" s="501"/>
      <c r="H330" s="501"/>
      <c r="I330" s="501"/>
      <c r="J330" s="501"/>
      <c r="K330" s="501"/>
      <c r="L330" s="349"/>
      <c r="M330" s="349"/>
      <c r="N330" s="349"/>
      <c r="O330" s="349"/>
      <c r="P330" s="349"/>
      <c r="Q330" s="349"/>
      <c r="R330" s="349"/>
      <c r="S330" s="349"/>
      <c r="T330" s="349"/>
      <c r="U330" s="349"/>
      <c r="V330" s="502"/>
      <c r="W330" s="386"/>
      <c r="X330" s="503"/>
      <c r="Y330" s="503"/>
      <c r="Z330" s="503"/>
      <c r="AA330" s="503"/>
      <c r="AB330" s="503"/>
      <c r="AC330" s="504"/>
      <c r="AD330" s="504"/>
      <c r="AE330" s="504"/>
      <c r="AF330" s="504"/>
      <c r="AG330" s="505"/>
      <c r="AH330" s="505"/>
    </row>
    <row r="331" spans="2:34" ht="15" x14ac:dyDescent="0.25">
      <c r="B331" s="506" t="s">
        <v>433</v>
      </c>
      <c r="C331" s="501"/>
      <c r="D331" s="501"/>
      <c r="E331" s="501"/>
      <c r="F331" s="501"/>
      <c r="G331" s="501"/>
      <c r="H331" s="501"/>
      <c r="I331" s="501"/>
      <c r="J331" s="501"/>
      <c r="K331" s="501"/>
      <c r="L331" s="349"/>
      <c r="M331" s="349"/>
      <c r="N331" s="349"/>
      <c r="O331" s="349"/>
      <c r="P331" s="349"/>
      <c r="Q331" s="349"/>
      <c r="R331" s="349"/>
      <c r="S331" s="349"/>
      <c r="T331" s="349"/>
      <c r="U331" s="349"/>
      <c r="V331" s="502"/>
      <c r="W331" s="386"/>
      <c r="X331" s="503"/>
      <c r="Y331" s="503"/>
      <c r="Z331" s="503"/>
      <c r="AA331" s="503"/>
      <c r="AB331" s="503"/>
      <c r="AC331" s="504"/>
      <c r="AD331" s="504"/>
      <c r="AE331" s="504"/>
      <c r="AF331" s="504"/>
      <c r="AG331" s="505"/>
      <c r="AH331" s="505"/>
    </row>
    <row r="332" spans="2:34" ht="15" x14ac:dyDescent="0.25">
      <c r="B332" s="506" t="s">
        <v>434</v>
      </c>
      <c r="C332" s="501"/>
      <c r="D332" s="501"/>
      <c r="E332" s="501"/>
      <c r="F332" s="501"/>
      <c r="G332" s="501"/>
      <c r="H332" s="501"/>
      <c r="I332" s="501"/>
      <c r="J332" s="501"/>
      <c r="K332" s="501"/>
      <c r="L332" s="349"/>
      <c r="M332" s="349"/>
      <c r="N332" s="349"/>
      <c r="O332" s="349"/>
      <c r="P332" s="349"/>
      <c r="Q332" s="349"/>
      <c r="R332" s="349"/>
      <c r="S332" s="349"/>
      <c r="T332" s="349"/>
      <c r="U332" s="349"/>
      <c r="V332" s="502"/>
      <c r="W332" s="386"/>
      <c r="X332" s="503"/>
      <c r="Y332" s="503"/>
      <c r="Z332" s="503"/>
      <c r="AA332" s="503"/>
      <c r="AB332" s="503"/>
      <c r="AC332" s="504"/>
      <c r="AD332" s="504"/>
      <c r="AE332" s="504"/>
      <c r="AF332" s="504"/>
      <c r="AG332" s="505"/>
      <c r="AH332" s="505"/>
    </row>
    <row r="333" spans="2:34" ht="15" x14ac:dyDescent="0.25">
      <c r="B333" s="506" t="s">
        <v>435</v>
      </c>
      <c r="C333" s="501"/>
      <c r="D333" s="501"/>
      <c r="E333" s="501"/>
      <c r="F333" s="501"/>
      <c r="G333" s="501"/>
      <c r="H333" s="501"/>
      <c r="I333" s="501"/>
      <c r="J333" s="501"/>
      <c r="K333" s="501"/>
      <c r="L333" s="349"/>
      <c r="M333" s="349"/>
      <c r="N333" s="349"/>
      <c r="O333" s="349"/>
      <c r="P333" s="349"/>
      <c r="Q333" s="349"/>
      <c r="R333" s="349"/>
      <c r="S333" s="349"/>
      <c r="T333" s="349"/>
      <c r="U333" s="349"/>
      <c r="V333" s="502"/>
      <c r="W333" s="386"/>
      <c r="X333" s="503"/>
      <c r="Y333" s="503"/>
      <c r="Z333" s="503"/>
      <c r="AA333" s="503"/>
      <c r="AB333" s="503"/>
      <c r="AC333" s="504"/>
      <c r="AD333" s="504"/>
      <c r="AE333" s="504"/>
      <c r="AF333" s="504"/>
      <c r="AG333" s="505"/>
      <c r="AH333" s="505"/>
    </row>
    <row r="334" spans="2:34" ht="15" x14ac:dyDescent="0.25">
      <c r="B334" s="506" t="s">
        <v>436</v>
      </c>
      <c r="C334" s="501"/>
      <c r="D334" s="501"/>
      <c r="E334" s="501"/>
      <c r="F334" s="501"/>
      <c r="G334" s="501"/>
      <c r="H334" s="501"/>
      <c r="I334" s="501"/>
      <c r="J334" s="501"/>
      <c r="K334" s="501"/>
      <c r="L334" s="349"/>
      <c r="M334" s="349"/>
      <c r="N334" s="349"/>
      <c r="O334" s="349"/>
      <c r="P334" s="349"/>
      <c r="Q334" s="349"/>
      <c r="R334" s="349"/>
      <c r="S334" s="349"/>
      <c r="T334" s="349"/>
      <c r="U334" s="349"/>
      <c r="V334" s="502"/>
      <c r="W334" s="386"/>
      <c r="X334" s="503"/>
      <c r="Y334" s="503"/>
      <c r="Z334" s="503"/>
      <c r="AA334" s="503"/>
      <c r="AB334" s="503"/>
      <c r="AC334" s="504"/>
      <c r="AD334" s="504"/>
      <c r="AE334" s="504"/>
      <c r="AF334" s="504"/>
      <c r="AG334" s="505"/>
      <c r="AH334" s="505"/>
    </row>
    <row r="335" spans="2:34" ht="15" x14ac:dyDescent="0.25">
      <c r="B335" s="506" t="s">
        <v>437</v>
      </c>
      <c r="C335" s="501"/>
      <c r="D335" s="501"/>
      <c r="E335" s="501"/>
      <c r="F335" s="501"/>
      <c r="G335" s="501"/>
      <c r="H335" s="501"/>
      <c r="I335" s="501"/>
      <c r="J335" s="501"/>
      <c r="K335" s="501"/>
      <c r="L335" s="349"/>
      <c r="M335" s="349"/>
      <c r="N335" s="349"/>
      <c r="O335" s="349"/>
      <c r="P335" s="349"/>
      <c r="Q335" s="349"/>
      <c r="R335" s="349"/>
      <c r="S335" s="349"/>
      <c r="T335" s="349"/>
      <c r="U335" s="349"/>
      <c r="V335" s="502"/>
      <c r="W335" s="386"/>
      <c r="X335" s="503"/>
      <c r="Y335" s="503"/>
      <c r="Z335" s="503"/>
      <c r="AA335" s="503"/>
      <c r="AB335" s="503"/>
      <c r="AC335" s="504"/>
      <c r="AD335" s="504"/>
      <c r="AE335" s="504"/>
      <c r="AF335" s="504"/>
      <c r="AG335" s="505"/>
      <c r="AH335" s="505"/>
    </row>
    <row r="336" spans="2:34" ht="15" x14ac:dyDescent="0.25">
      <c r="B336" s="506" t="s">
        <v>438</v>
      </c>
      <c r="C336" s="501"/>
      <c r="D336" s="501"/>
      <c r="E336" s="501"/>
      <c r="F336" s="501"/>
      <c r="G336" s="501"/>
      <c r="H336" s="501"/>
      <c r="I336" s="501"/>
      <c r="J336" s="501"/>
      <c r="K336" s="501"/>
      <c r="L336" s="349"/>
      <c r="M336" s="349"/>
      <c r="N336" s="349"/>
      <c r="O336" s="349"/>
      <c r="P336" s="349"/>
      <c r="Q336" s="349"/>
      <c r="R336" s="349"/>
      <c r="S336" s="349"/>
      <c r="T336" s="349"/>
      <c r="U336" s="349"/>
      <c r="V336" s="502"/>
      <c r="W336" s="386"/>
      <c r="X336" s="503"/>
      <c r="Y336" s="503"/>
      <c r="Z336" s="503"/>
      <c r="AA336" s="503"/>
      <c r="AB336" s="503"/>
      <c r="AC336" s="504"/>
      <c r="AD336" s="504"/>
      <c r="AE336" s="504"/>
      <c r="AF336" s="504"/>
      <c r="AG336" s="505"/>
      <c r="AH336" s="505"/>
    </row>
    <row r="337" spans="2:34" ht="15" x14ac:dyDescent="0.25">
      <c r="B337" s="506" t="s">
        <v>439</v>
      </c>
      <c r="C337" s="501"/>
      <c r="D337" s="501"/>
      <c r="E337" s="501"/>
      <c r="F337" s="501"/>
      <c r="G337" s="501"/>
      <c r="H337" s="501"/>
      <c r="I337" s="501"/>
      <c r="J337" s="501"/>
      <c r="K337" s="501"/>
      <c r="L337" s="349"/>
      <c r="M337" s="349"/>
      <c r="N337" s="349"/>
      <c r="O337" s="349"/>
      <c r="P337" s="349"/>
      <c r="Q337" s="349"/>
      <c r="R337" s="349"/>
      <c r="S337" s="349"/>
      <c r="T337" s="349"/>
      <c r="U337" s="349"/>
      <c r="V337" s="502"/>
      <c r="W337" s="386"/>
      <c r="X337" s="503"/>
      <c r="Y337" s="503"/>
      <c r="Z337" s="503"/>
      <c r="AA337" s="503"/>
      <c r="AB337" s="503"/>
      <c r="AC337" s="504"/>
      <c r="AD337" s="504"/>
      <c r="AE337" s="504"/>
      <c r="AF337" s="504"/>
      <c r="AG337" s="505"/>
      <c r="AH337" s="505"/>
    </row>
    <row r="338" spans="2:34" ht="15" x14ac:dyDescent="0.25">
      <c r="B338" s="506" t="s">
        <v>440</v>
      </c>
      <c r="C338" s="501"/>
      <c r="D338" s="501"/>
      <c r="E338" s="501"/>
      <c r="F338" s="501"/>
      <c r="G338" s="501"/>
      <c r="H338" s="501"/>
      <c r="I338" s="501"/>
      <c r="J338" s="501"/>
      <c r="K338" s="501"/>
      <c r="L338" s="349"/>
      <c r="M338" s="349"/>
      <c r="N338" s="349"/>
      <c r="O338" s="349"/>
      <c r="P338" s="349"/>
      <c r="Q338" s="349"/>
      <c r="R338" s="349"/>
      <c r="S338" s="349"/>
      <c r="T338" s="349"/>
      <c r="U338" s="349"/>
      <c r="V338" s="502"/>
      <c r="W338" s="386"/>
      <c r="X338" s="503"/>
      <c r="Y338" s="503"/>
      <c r="Z338" s="503"/>
      <c r="AA338" s="503"/>
      <c r="AB338" s="503"/>
      <c r="AC338" s="504"/>
      <c r="AD338" s="504"/>
      <c r="AE338" s="504"/>
      <c r="AF338" s="504"/>
      <c r="AG338" s="505"/>
      <c r="AH338" s="505"/>
    </row>
    <row r="339" spans="2:34" ht="15" x14ac:dyDescent="0.25">
      <c r="B339" s="506" t="s">
        <v>441</v>
      </c>
      <c r="C339" s="501"/>
      <c r="D339" s="501"/>
      <c r="E339" s="501"/>
      <c r="F339" s="501"/>
      <c r="G339" s="501"/>
      <c r="H339" s="501"/>
      <c r="I339" s="501"/>
      <c r="J339" s="501"/>
      <c r="K339" s="501"/>
      <c r="L339" s="349"/>
      <c r="M339" s="349"/>
      <c r="N339" s="349"/>
      <c r="O339" s="349"/>
      <c r="P339" s="349"/>
      <c r="Q339" s="349"/>
      <c r="R339" s="349"/>
      <c r="S339" s="349"/>
      <c r="T339" s="349"/>
      <c r="U339" s="349"/>
      <c r="V339" s="502"/>
      <c r="W339" s="386"/>
      <c r="X339" s="503"/>
      <c r="Y339" s="503"/>
      <c r="Z339" s="503"/>
      <c r="AA339" s="503"/>
      <c r="AB339" s="503"/>
      <c r="AC339" s="504"/>
      <c r="AD339" s="504"/>
      <c r="AE339" s="504"/>
      <c r="AF339" s="504"/>
      <c r="AG339" s="505"/>
      <c r="AH339" s="505"/>
    </row>
    <row r="340" spans="2:34" ht="15" x14ac:dyDescent="0.25">
      <c r="B340" s="506" t="s">
        <v>442</v>
      </c>
      <c r="C340" s="501"/>
      <c r="D340" s="501"/>
      <c r="E340" s="501"/>
      <c r="F340" s="501"/>
      <c r="G340" s="501"/>
      <c r="H340" s="501"/>
      <c r="I340" s="501"/>
      <c r="J340" s="501"/>
      <c r="K340" s="501"/>
      <c r="L340" s="349"/>
      <c r="M340" s="349"/>
      <c r="N340" s="349"/>
      <c r="O340" s="349"/>
      <c r="P340" s="349"/>
      <c r="Q340" s="349"/>
      <c r="R340" s="349"/>
      <c r="S340" s="349"/>
      <c r="T340" s="349"/>
      <c r="U340" s="349"/>
      <c r="V340" s="502"/>
      <c r="W340" s="386"/>
      <c r="X340" s="503"/>
      <c r="Y340" s="503"/>
      <c r="Z340" s="503"/>
      <c r="AA340" s="503"/>
      <c r="AB340" s="503"/>
      <c r="AC340" s="504"/>
      <c r="AD340" s="504"/>
      <c r="AE340" s="504"/>
      <c r="AF340" s="504"/>
      <c r="AG340" s="505"/>
      <c r="AH340" s="505"/>
    </row>
    <row r="341" spans="2:34" ht="15" x14ac:dyDescent="0.25">
      <c r="B341" s="506" t="s">
        <v>443</v>
      </c>
      <c r="C341" s="501"/>
      <c r="D341" s="501"/>
      <c r="E341" s="501"/>
      <c r="F341" s="501"/>
      <c r="G341" s="501"/>
      <c r="H341" s="501"/>
      <c r="I341" s="501"/>
      <c r="J341" s="501"/>
      <c r="K341" s="501"/>
      <c r="L341" s="349"/>
      <c r="M341" s="349"/>
      <c r="N341" s="349"/>
      <c r="O341" s="349"/>
      <c r="P341" s="349"/>
      <c r="Q341" s="349"/>
      <c r="R341" s="349"/>
      <c r="S341" s="349"/>
      <c r="T341" s="349"/>
      <c r="U341" s="349"/>
      <c r="V341" s="502"/>
      <c r="W341" s="386"/>
      <c r="X341" s="503"/>
      <c r="Y341" s="503"/>
      <c r="Z341" s="503"/>
      <c r="AA341" s="503"/>
      <c r="AB341" s="503"/>
      <c r="AC341" s="504"/>
      <c r="AD341" s="504"/>
      <c r="AE341" s="504"/>
      <c r="AF341" s="504"/>
      <c r="AG341" s="505"/>
      <c r="AH341" s="505"/>
    </row>
    <row r="342" spans="2:34" ht="15" x14ac:dyDescent="0.25">
      <c r="B342" s="506" t="s">
        <v>444</v>
      </c>
      <c r="C342" s="501"/>
      <c r="D342" s="501"/>
      <c r="E342" s="501"/>
      <c r="F342" s="501"/>
      <c r="G342" s="501"/>
      <c r="H342" s="501"/>
      <c r="I342" s="501"/>
      <c r="J342" s="501"/>
      <c r="K342" s="501"/>
      <c r="L342" s="349"/>
      <c r="M342" s="349"/>
      <c r="N342" s="349"/>
      <c r="O342" s="349"/>
      <c r="P342" s="349"/>
      <c r="Q342" s="349"/>
      <c r="R342" s="349"/>
      <c r="S342" s="349"/>
      <c r="T342" s="349"/>
      <c r="U342" s="349"/>
      <c r="V342" s="502"/>
      <c r="W342" s="386"/>
      <c r="X342" s="503"/>
      <c r="Y342" s="503"/>
      <c r="Z342" s="503"/>
      <c r="AA342" s="503"/>
      <c r="AB342" s="503"/>
      <c r="AC342" s="504"/>
      <c r="AD342" s="504"/>
      <c r="AE342" s="504"/>
      <c r="AF342" s="504"/>
      <c r="AG342" s="505"/>
      <c r="AH342" s="505"/>
    </row>
    <row r="343" spans="2:34" ht="15" x14ac:dyDescent="0.25">
      <c r="B343" s="506" t="s">
        <v>445</v>
      </c>
      <c r="C343" s="501"/>
      <c r="D343" s="501"/>
      <c r="E343" s="501"/>
      <c r="F343" s="501"/>
      <c r="G343" s="501"/>
      <c r="H343" s="501"/>
      <c r="I343" s="501"/>
      <c r="J343" s="501"/>
      <c r="K343" s="501"/>
      <c r="L343" s="349"/>
      <c r="M343" s="349"/>
      <c r="N343" s="349"/>
      <c r="O343" s="349"/>
      <c r="P343" s="349"/>
      <c r="Q343" s="349"/>
      <c r="R343" s="349"/>
      <c r="S343" s="349"/>
      <c r="T343" s="349"/>
      <c r="U343" s="349"/>
      <c r="V343" s="502"/>
      <c r="W343" s="386"/>
      <c r="X343" s="503"/>
      <c r="Y343" s="503"/>
      <c r="Z343" s="503"/>
      <c r="AA343" s="503"/>
      <c r="AB343" s="503"/>
      <c r="AC343" s="504"/>
      <c r="AD343" s="504"/>
      <c r="AE343" s="504"/>
      <c r="AF343" s="504"/>
      <c r="AG343" s="505"/>
      <c r="AH343" s="505"/>
    </row>
    <row r="344" spans="2:34" ht="15" x14ac:dyDescent="0.25">
      <c r="B344" s="506" t="s">
        <v>446</v>
      </c>
      <c r="C344" s="501"/>
      <c r="D344" s="501"/>
      <c r="E344" s="501"/>
      <c r="F344" s="501"/>
      <c r="G344" s="501"/>
      <c r="H344" s="501"/>
      <c r="I344" s="501"/>
      <c r="J344" s="501"/>
      <c r="K344" s="501"/>
      <c r="L344" s="349"/>
      <c r="M344" s="349"/>
      <c r="N344" s="349"/>
      <c r="O344" s="349"/>
      <c r="P344" s="349"/>
      <c r="Q344" s="349"/>
      <c r="R344" s="349"/>
      <c r="S344" s="349"/>
      <c r="T344" s="349"/>
      <c r="U344" s="349"/>
      <c r="V344" s="502"/>
      <c r="W344" s="386"/>
      <c r="X344" s="503"/>
      <c r="Y344" s="503"/>
      <c r="Z344" s="503"/>
      <c r="AA344" s="503"/>
      <c r="AB344" s="503"/>
      <c r="AC344" s="504"/>
      <c r="AD344" s="504"/>
      <c r="AE344" s="504"/>
      <c r="AF344" s="504"/>
      <c r="AG344" s="505"/>
      <c r="AH344" s="505"/>
    </row>
    <row r="345" spans="2:34" ht="15" x14ac:dyDescent="0.25">
      <c r="B345" s="506" t="s">
        <v>447</v>
      </c>
      <c r="C345" s="501"/>
      <c r="D345" s="501"/>
      <c r="E345" s="501"/>
      <c r="F345" s="501"/>
      <c r="G345" s="501"/>
      <c r="H345" s="501"/>
      <c r="I345" s="501"/>
      <c r="J345" s="501"/>
      <c r="K345" s="501"/>
      <c r="L345" s="349"/>
      <c r="M345" s="349"/>
      <c r="N345" s="349"/>
      <c r="O345" s="349"/>
      <c r="P345" s="349"/>
      <c r="Q345" s="349"/>
      <c r="R345" s="349"/>
      <c r="S345" s="349"/>
      <c r="T345" s="349"/>
      <c r="U345" s="349"/>
      <c r="V345" s="502"/>
      <c r="W345" s="386"/>
      <c r="X345" s="503"/>
      <c r="Y345" s="503"/>
      <c r="Z345" s="503"/>
      <c r="AA345" s="503"/>
      <c r="AB345" s="503"/>
      <c r="AC345" s="504"/>
      <c r="AD345" s="504"/>
      <c r="AE345" s="504"/>
      <c r="AF345" s="504"/>
      <c r="AG345" s="505"/>
      <c r="AH345" s="505"/>
    </row>
    <row r="346" spans="2:34" ht="15" x14ac:dyDescent="0.25">
      <c r="B346" s="506" t="s">
        <v>448</v>
      </c>
      <c r="C346" s="501"/>
      <c r="D346" s="501"/>
      <c r="E346" s="501"/>
      <c r="F346" s="501"/>
      <c r="G346" s="501"/>
      <c r="H346" s="501"/>
      <c r="I346" s="501"/>
      <c r="J346" s="501"/>
      <c r="K346" s="501"/>
      <c r="L346" s="349"/>
      <c r="M346" s="349"/>
      <c r="N346" s="349"/>
      <c r="O346" s="349"/>
      <c r="P346" s="349"/>
      <c r="Q346" s="349"/>
      <c r="R346" s="349"/>
      <c r="S346" s="349"/>
      <c r="T346" s="349"/>
      <c r="U346" s="349"/>
      <c r="V346" s="502"/>
      <c r="W346" s="386"/>
      <c r="X346" s="503"/>
      <c r="Y346" s="503"/>
      <c r="Z346" s="503"/>
      <c r="AA346" s="503"/>
      <c r="AB346" s="503"/>
      <c r="AC346" s="504"/>
      <c r="AD346" s="504"/>
      <c r="AE346" s="504"/>
      <c r="AF346" s="504"/>
      <c r="AG346" s="505"/>
      <c r="AH346" s="505"/>
    </row>
    <row r="347" spans="2:34" ht="15" x14ac:dyDescent="0.25">
      <c r="B347" s="506" t="s">
        <v>449</v>
      </c>
      <c r="C347" s="501"/>
      <c r="D347" s="501"/>
      <c r="E347" s="501"/>
      <c r="F347" s="501"/>
      <c r="G347" s="501"/>
      <c r="H347" s="501"/>
      <c r="I347" s="501"/>
      <c r="J347" s="501"/>
      <c r="K347" s="501"/>
      <c r="L347" s="349"/>
      <c r="M347" s="349"/>
      <c r="N347" s="349"/>
      <c r="O347" s="349"/>
      <c r="P347" s="349"/>
      <c r="Q347" s="349"/>
      <c r="R347" s="349"/>
      <c r="S347" s="349"/>
      <c r="T347" s="349"/>
      <c r="U347" s="349"/>
      <c r="V347" s="502"/>
      <c r="W347" s="386"/>
      <c r="X347" s="503"/>
      <c r="Y347" s="503"/>
      <c r="Z347" s="503"/>
      <c r="AA347" s="503"/>
      <c r="AB347" s="503"/>
      <c r="AC347" s="504"/>
      <c r="AD347" s="504"/>
      <c r="AE347" s="504"/>
      <c r="AF347" s="504"/>
      <c r="AG347" s="505"/>
      <c r="AH347" s="505"/>
    </row>
    <row r="348" spans="2:34" ht="15" x14ac:dyDescent="0.25">
      <c r="B348" s="506" t="s">
        <v>450</v>
      </c>
      <c r="C348" s="501"/>
      <c r="D348" s="501"/>
      <c r="E348" s="501"/>
      <c r="F348" s="501"/>
      <c r="G348" s="501"/>
      <c r="H348" s="501"/>
      <c r="I348" s="501"/>
      <c r="J348" s="501"/>
      <c r="K348" s="501"/>
      <c r="L348" s="349"/>
      <c r="M348" s="349"/>
      <c r="N348" s="349"/>
      <c r="O348" s="349"/>
      <c r="P348" s="349"/>
      <c r="Q348" s="349"/>
      <c r="R348" s="349"/>
      <c r="S348" s="349"/>
      <c r="T348" s="349"/>
      <c r="U348" s="349"/>
      <c r="V348" s="502"/>
      <c r="W348" s="386"/>
      <c r="X348" s="503"/>
      <c r="Y348" s="503"/>
      <c r="Z348" s="503"/>
      <c r="AA348" s="503"/>
      <c r="AB348" s="503"/>
      <c r="AC348" s="504"/>
      <c r="AD348" s="504"/>
      <c r="AE348" s="504"/>
      <c r="AF348" s="504"/>
      <c r="AG348" s="505"/>
      <c r="AH348" s="505"/>
    </row>
    <row r="349" spans="2:34" ht="15" x14ac:dyDescent="0.25">
      <c r="B349" s="506" t="s">
        <v>451</v>
      </c>
      <c r="C349" s="501"/>
      <c r="D349" s="501"/>
      <c r="E349" s="501"/>
      <c r="F349" s="501"/>
      <c r="G349" s="501"/>
      <c r="H349" s="501"/>
      <c r="I349" s="501"/>
      <c r="J349" s="501"/>
      <c r="K349" s="501"/>
      <c r="L349" s="349"/>
      <c r="M349" s="349"/>
      <c r="N349" s="349"/>
      <c r="O349" s="349"/>
      <c r="P349" s="349"/>
      <c r="Q349" s="349"/>
      <c r="R349" s="349"/>
      <c r="S349" s="349"/>
      <c r="T349" s="349"/>
      <c r="U349" s="349"/>
      <c r="V349" s="502"/>
      <c r="W349" s="386"/>
      <c r="X349" s="503"/>
      <c r="Y349" s="503"/>
      <c r="Z349" s="503"/>
      <c r="AA349" s="503"/>
      <c r="AB349" s="503"/>
      <c r="AC349" s="504"/>
      <c r="AD349" s="504"/>
      <c r="AE349" s="504"/>
      <c r="AF349" s="504"/>
      <c r="AG349" s="505"/>
      <c r="AH349" s="505"/>
    </row>
    <row r="350" spans="2:34" ht="15" x14ac:dyDescent="0.25">
      <c r="B350" s="506" t="s">
        <v>452</v>
      </c>
      <c r="C350" s="501"/>
      <c r="D350" s="501"/>
      <c r="E350" s="501"/>
      <c r="F350" s="501"/>
      <c r="G350" s="501"/>
      <c r="H350" s="501"/>
      <c r="I350" s="501"/>
      <c r="J350" s="501"/>
      <c r="K350" s="501"/>
      <c r="L350" s="349"/>
      <c r="M350" s="349"/>
      <c r="N350" s="349"/>
      <c r="O350" s="349"/>
      <c r="P350" s="349"/>
      <c r="Q350" s="349"/>
      <c r="R350" s="349"/>
      <c r="S350" s="349"/>
      <c r="T350" s="349"/>
      <c r="U350" s="349"/>
      <c r="V350" s="502"/>
      <c r="W350" s="386"/>
      <c r="X350" s="503"/>
      <c r="Y350" s="503"/>
      <c r="Z350" s="503"/>
      <c r="AA350" s="503"/>
      <c r="AB350" s="503"/>
      <c r="AC350" s="504"/>
      <c r="AD350" s="504"/>
      <c r="AE350" s="504"/>
      <c r="AF350" s="504"/>
      <c r="AG350" s="505"/>
      <c r="AH350" s="505"/>
    </row>
    <row r="351" spans="2:34" ht="15" x14ac:dyDescent="0.25">
      <c r="B351" s="506" t="s">
        <v>453</v>
      </c>
      <c r="C351" s="501"/>
      <c r="D351" s="501"/>
      <c r="E351" s="501"/>
      <c r="F351" s="501"/>
      <c r="G351" s="501"/>
      <c r="H351" s="501"/>
      <c r="I351" s="501"/>
      <c r="J351" s="501"/>
      <c r="K351" s="501"/>
      <c r="L351" s="349"/>
      <c r="M351" s="349"/>
      <c r="N351" s="349"/>
      <c r="O351" s="349"/>
      <c r="P351" s="349"/>
      <c r="Q351" s="349"/>
      <c r="R351" s="349"/>
      <c r="S351" s="349"/>
      <c r="T351" s="349"/>
      <c r="U351" s="349"/>
      <c r="V351" s="502"/>
      <c r="W351" s="386"/>
      <c r="X351" s="503"/>
      <c r="Y351" s="503"/>
      <c r="Z351" s="503"/>
      <c r="AA351" s="503"/>
      <c r="AB351" s="503"/>
      <c r="AC351" s="504"/>
      <c r="AD351" s="504"/>
      <c r="AE351" s="504"/>
      <c r="AF351" s="504"/>
      <c r="AG351" s="505"/>
      <c r="AH351" s="505"/>
    </row>
    <row r="352" spans="2:34" ht="15" x14ac:dyDescent="0.25">
      <c r="B352" s="506" t="s">
        <v>454</v>
      </c>
      <c r="C352" s="501"/>
      <c r="D352" s="501"/>
      <c r="E352" s="501"/>
      <c r="F352" s="501"/>
      <c r="G352" s="501"/>
      <c r="H352" s="501"/>
      <c r="I352" s="501"/>
      <c r="J352" s="501"/>
      <c r="K352" s="501"/>
      <c r="L352" s="349"/>
      <c r="M352" s="349"/>
      <c r="N352" s="349"/>
      <c r="O352" s="349"/>
      <c r="P352" s="349"/>
      <c r="Q352" s="349"/>
      <c r="R352" s="349"/>
      <c r="S352" s="349"/>
      <c r="T352" s="349"/>
      <c r="U352" s="349"/>
      <c r="V352" s="502"/>
      <c r="W352" s="386"/>
      <c r="X352" s="503"/>
      <c r="Y352" s="503"/>
      <c r="Z352" s="503"/>
      <c r="AA352" s="503"/>
      <c r="AB352" s="503"/>
      <c r="AC352" s="504"/>
      <c r="AD352" s="504"/>
      <c r="AE352" s="504"/>
      <c r="AF352" s="504"/>
      <c r="AG352" s="505"/>
      <c r="AH352" s="505"/>
    </row>
    <row r="353" spans="2:34" ht="15" x14ac:dyDescent="0.25">
      <c r="B353" s="506" t="s">
        <v>455</v>
      </c>
      <c r="C353" s="501"/>
      <c r="D353" s="501"/>
      <c r="E353" s="501"/>
      <c r="F353" s="501"/>
      <c r="G353" s="501"/>
      <c r="H353" s="501"/>
      <c r="I353" s="501"/>
      <c r="J353" s="501"/>
      <c r="K353" s="501"/>
      <c r="L353" s="349"/>
      <c r="M353" s="349"/>
      <c r="N353" s="349"/>
      <c r="O353" s="349"/>
      <c r="P353" s="349"/>
      <c r="Q353" s="349"/>
      <c r="R353" s="349"/>
      <c r="S353" s="349"/>
      <c r="T353" s="349"/>
      <c r="U353" s="349"/>
      <c r="V353" s="502"/>
      <c r="W353" s="386"/>
      <c r="X353" s="503"/>
      <c r="Y353" s="503"/>
      <c r="Z353" s="503"/>
      <c r="AA353" s="503"/>
      <c r="AB353" s="503"/>
      <c r="AC353" s="504"/>
      <c r="AD353" s="504"/>
      <c r="AE353" s="504"/>
      <c r="AF353" s="504"/>
      <c r="AG353" s="505"/>
      <c r="AH353" s="505"/>
    </row>
    <row r="354" spans="2:34" ht="15" x14ac:dyDescent="0.25">
      <c r="B354" s="506" t="s">
        <v>456</v>
      </c>
      <c r="C354" s="501"/>
      <c r="D354" s="501"/>
      <c r="E354" s="501"/>
      <c r="F354" s="501"/>
      <c r="G354" s="501"/>
      <c r="H354" s="501"/>
      <c r="I354" s="501"/>
      <c r="J354" s="501"/>
      <c r="K354" s="501"/>
      <c r="L354" s="349"/>
      <c r="M354" s="349"/>
      <c r="N354" s="349"/>
      <c r="O354" s="349"/>
      <c r="P354" s="349"/>
      <c r="Q354" s="349"/>
      <c r="R354" s="349"/>
      <c r="S354" s="349"/>
      <c r="T354" s="349"/>
      <c r="U354" s="349"/>
      <c r="V354" s="502"/>
      <c r="W354" s="386"/>
      <c r="X354" s="503"/>
      <c r="Y354" s="503"/>
      <c r="Z354" s="503"/>
      <c r="AA354" s="503"/>
      <c r="AB354" s="503"/>
      <c r="AC354" s="504"/>
      <c r="AD354" s="504"/>
      <c r="AE354" s="504"/>
      <c r="AF354" s="504"/>
      <c r="AG354" s="505"/>
      <c r="AH354" s="505"/>
    </row>
    <row r="355" spans="2:34" ht="15" x14ac:dyDescent="0.25">
      <c r="B355" s="506" t="s">
        <v>457</v>
      </c>
      <c r="C355" s="501"/>
      <c r="D355" s="501"/>
      <c r="E355" s="501"/>
      <c r="F355" s="501"/>
      <c r="G355" s="501"/>
      <c r="H355" s="501"/>
      <c r="I355" s="501"/>
      <c r="J355" s="501"/>
      <c r="K355" s="501"/>
      <c r="L355" s="349"/>
      <c r="M355" s="349"/>
      <c r="N355" s="349"/>
      <c r="O355" s="349"/>
      <c r="P355" s="349"/>
      <c r="Q355" s="349"/>
      <c r="R355" s="349"/>
      <c r="S355" s="349"/>
      <c r="T355" s="349"/>
      <c r="U355" s="349"/>
      <c r="V355" s="502"/>
      <c r="W355" s="386"/>
      <c r="X355" s="503"/>
      <c r="Y355" s="503"/>
      <c r="Z355" s="503"/>
      <c r="AA355" s="503"/>
      <c r="AB355" s="503"/>
      <c r="AC355" s="504"/>
      <c r="AD355" s="504"/>
      <c r="AE355" s="504"/>
      <c r="AF355" s="504"/>
      <c r="AG355" s="505"/>
      <c r="AH355" s="505"/>
    </row>
    <row r="356" spans="2:34" ht="15" x14ac:dyDescent="0.25">
      <c r="B356" s="506" t="s">
        <v>458</v>
      </c>
      <c r="C356" s="501"/>
      <c r="D356" s="501"/>
      <c r="E356" s="501"/>
      <c r="F356" s="501"/>
      <c r="G356" s="501"/>
      <c r="H356" s="501"/>
      <c r="I356" s="501"/>
      <c r="J356" s="501"/>
      <c r="K356" s="501"/>
      <c r="L356" s="349"/>
      <c r="M356" s="349"/>
      <c r="N356" s="349"/>
      <c r="O356" s="349"/>
      <c r="P356" s="349"/>
      <c r="Q356" s="349"/>
      <c r="R356" s="349"/>
      <c r="S356" s="349"/>
      <c r="T356" s="349"/>
      <c r="U356" s="349"/>
      <c r="V356" s="502"/>
      <c r="W356" s="386"/>
      <c r="X356" s="503"/>
      <c r="Y356" s="503"/>
      <c r="Z356" s="503"/>
      <c r="AA356" s="503"/>
      <c r="AB356" s="503"/>
      <c r="AC356" s="504"/>
      <c r="AD356" s="504"/>
      <c r="AE356" s="504"/>
      <c r="AF356" s="504"/>
      <c r="AG356" s="505"/>
      <c r="AH356" s="505"/>
    </row>
    <row r="357" spans="2:34" ht="15" x14ac:dyDescent="0.25">
      <c r="B357" s="506" t="s">
        <v>459</v>
      </c>
      <c r="C357" s="501"/>
      <c r="D357" s="501"/>
      <c r="E357" s="501"/>
      <c r="F357" s="501"/>
      <c r="G357" s="501"/>
      <c r="H357" s="501"/>
      <c r="I357" s="501"/>
      <c r="J357" s="501"/>
      <c r="K357" s="501"/>
      <c r="L357" s="349"/>
      <c r="M357" s="349"/>
      <c r="N357" s="349"/>
      <c r="O357" s="349"/>
      <c r="P357" s="349"/>
      <c r="Q357" s="349"/>
      <c r="R357" s="349"/>
      <c r="S357" s="349"/>
      <c r="T357" s="349"/>
      <c r="U357" s="349"/>
      <c r="V357" s="502"/>
      <c r="W357" s="386"/>
      <c r="X357" s="503"/>
      <c r="Y357" s="503"/>
      <c r="Z357" s="503"/>
      <c r="AA357" s="503"/>
      <c r="AB357" s="503"/>
      <c r="AC357" s="504"/>
      <c r="AD357" s="504"/>
      <c r="AE357" s="504"/>
      <c r="AF357" s="504"/>
      <c r="AG357" s="505"/>
      <c r="AH357" s="505"/>
    </row>
    <row r="358" spans="2:34" ht="15" x14ac:dyDescent="0.25">
      <c r="B358" s="506" t="s">
        <v>460</v>
      </c>
      <c r="C358" s="501"/>
      <c r="D358" s="501"/>
      <c r="E358" s="501"/>
      <c r="F358" s="501"/>
      <c r="G358" s="501"/>
      <c r="H358" s="501"/>
      <c r="I358" s="501"/>
      <c r="J358" s="501"/>
      <c r="K358" s="501"/>
      <c r="L358" s="349"/>
      <c r="M358" s="349"/>
      <c r="N358" s="349"/>
      <c r="O358" s="349"/>
      <c r="P358" s="349"/>
      <c r="Q358" s="349"/>
      <c r="R358" s="349"/>
      <c r="S358" s="349"/>
      <c r="T358" s="349"/>
      <c r="U358" s="349"/>
      <c r="V358" s="502"/>
      <c r="W358" s="386"/>
      <c r="X358" s="503"/>
      <c r="Y358" s="503"/>
      <c r="Z358" s="503"/>
      <c r="AA358" s="503"/>
      <c r="AB358" s="503"/>
      <c r="AC358" s="504"/>
      <c r="AD358" s="504"/>
      <c r="AE358" s="504"/>
      <c r="AF358" s="504"/>
      <c r="AG358" s="505"/>
      <c r="AH358" s="505"/>
    </row>
    <row r="359" spans="2:34" ht="15" x14ac:dyDescent="0.25">
      <c r="B359" s="506" t="s">
        <v>461</v>
      </c>
      <c r="C359" s="501"/>
      <c r="D359" s="501"/>
      <c r="E359" s="501"/>
      <c r="F359" s="501"/>
      <c r="G359" s="501"/>
      <c r="H359" s="501"/>
      <c r="I359" s="501"/>
      <c r="J359" s="501"/>
      <c r="K359" s="501"/>
      <c r="L359" s="349"/>
      <c r="M359" s="349"/>
      <c r="N359" s="349"/>
      <c r="O359" s="349"/>
      <c r="P359" s="349"/>
      <c r="Q359" s="349"/>
      <c r="R359" s="349"/>
      <c r="S359" s="349"/>
      <c r="T359" s="349"/>
      <c r="U359" s="349"/>
      <c r="V359" s="502"/>
      <c r="W359" s="386"/>
      <c r="X359" s="503"/>
      <c r="Y359" s="503"/>
      <c r="Z359" s="503"/>
      <c r="AA359" s="503"/>
      <c r="AB359" s="503"/>
      <c r="AC359" s="504"/>
      <c r="AD359" s="504"/>
      <c r="AE359" s="504"/>
      <c r="AF359" s="504"/>
      <c r="AG359" s="505"/>
      <c r="AH359" s="505"/>
    </row>
    <row r="360" spans="2:34" ht="15" x14ac:dyDescent="0.25">
      <c r="B360" s="506" t="s">
        <v>462</v>
      </c>
      <c r="C360" s="501"/>
      <c r="D360" s="501"/>
      <c r="E360" s="501"/>
      <c r="F360" s="501"/>
      <c r="G360" s="501"/>
      <c r="H360" s="501"/>
      <c r="I360" s="501"/>
      <c r="J360" s="501"/>
      <c r="K360" s="501"/>
      <c r="L360" s="349"/>
      <c r="M360" s="349"/>
      <c r="N360" s="349"/>
      <c r="O360" s="349"/>
      <c r="P360" s="349"/>
      <c r="Q360" s="349"/>
      <c r="R360" s="349"/>
      <c r="S360" s="349"/>
      <c r="T360" s="349"/>
      <c r="U360" s="349"/>
      <c r="V360" s="502"/>
      <c r="W360" s="386"/>
      <c r="X360" s="503"/>
      <c r="Y360" s="503"/>
      <c r="Z360" s="503"/>
      <c r="AA360" s="503"/>
      <c r="AB360" s="503"/>
      <c r="AC360" s="504"/>
      <c r="AD360" s="504"/>
      <c r="AE360" s="504"/>
      <c r="AF360" s="504"/>
      <c r="AG360" s="505"/>
      <c r="AH360" s="505"/>
    </row>
    <row r="361" spans="2:34" ht="15" x14ac:dyDescent="0.25">
      <c r="B361" s="506" t="s">
        <v>463</v>
      </c>
      <c r="C361" s="501"/>
      <c r="D361" s="501"/>
      <c r="E361" s="501"/>
      <c r="F361" s="501"/>
      <c r="G361" s="501"/>
      <c r="H361" s="501"/>
      <c r="I361" s="501"/>
      <c r="J361" s="501"/>
      <c r="K361" s="501"/>
      <c r="L361" s="349"/>
      <c r="M361" s="349"/>
      <c r="N361" s="349"/>
      <c r="O361" s="349"/>
      <c r="P361" s="349"/>
      <c r="Q361" s="349"/>
      <c r="R361" s="349"/>
      <c r="S361" s="349"/>
      <c r="T361" s="349"/>
      <c r="U361" s="349"/>
      <c r="V361" s="502"/>
      <c r="W361" s="386"/>
      <c r="X361" s="503"/>
      <c r="Y361" s="503"/>
      <c r="Z361" s="503"/>
      <c r="AA361" s="503"/>
      <c r="AB361" s="503"/>
      <c r="AC361" s="504"/>
      <c r="AD361" s="504"/>
      <c r="AE361" s="504"/>
      <c r="AF361" s="504"/>
      <c r="AG361" s="505"/>
      <c r="AH361" s="505"/>
    </row>
    <row r="362" spans="2:34" ht="15" x14ac:dyDescent="0.25">
      <c r="B362" s="506" t="s">
        <v>464</v>
      </c>
      <c r="C362" s="501"/>
      <c r="D362" s="501"/>
      <c r="E362" s="501"/>
      <c r="F362" s="501"/>
      <c r="G362" s="501"/>
      <c r="H362" s="501"/>
      <c r="I362" s="501"/>
      <c r="J362" s="501"/>
      <c r="K362" s="501"/>
      <c r="L362" s="349"/>
      <c r="M362" s="349"/>
      <c r="N362" s="349"/>
      <c r="O362" s="349"/>
      <c r="P362" s="349"/>
      <c r="Q362" s="349"/>
      <c r="R362" s="349"/>
      <c r="S362" s="349"/>
      <c r="T362" s="349"/>
      <c r="U362" s="349"/>
      <c r="V362" s="502"/>
      <c r="W362" s="386"/>
      <c r="X362" s="503"/>
      <c r="Y362" s="503"/>
      <c r="Z362" s="503"/>
      <c r="AA362" s="503"/>
      <c r="AB362" s="503"/>
      <c r="AC362" s="504"/>
      <c r="AD362" s="504"/>
      <c r="AE362" s="504"/>
      <c r="AF362" s="504"/>
      <c r="AG362" s="505"/>
      <c r="AH362" s="505"/>
    </row>
    <row r="363" spans="2:34" ht="15" x14ac:dyDescent="0.25">
      <c r="B363" s="506" t="s">
        <v>465</v>
      </c>
      <c r="C363" s="501"/>
      <c r="D363" s="501"/>
      <c r="E363" s="501"/>
      <c r="F363" s="501"/>
      <c r="G363" s="501"/>
      <c r="H363" s="501"/>
      <c r="I363" s="501"/>
      <c r="J363" s="501"/>
      <c r="K363" s="501"/>
      <c r="L363" s="349"/>
      <c r="M363" s="349"/>
      <c r="N363" s="349"/>
      <c r="O363" s="349"/>
      <c r="P363" s="349"/>
      <c r="Q363" s="349"/>
      <c r="R363" s="349"/>
      <c r="S363" s="349"/>
      <c r="T363" s="349"/>
      <c r="U363" s="349"/>
      <c r="V363" s="502"/>
      <c r="W363" s="386"/>
      <c r="X363" s="503"/>
      <c r="Y363" s="503"/>
      <c r="Z363" s="503"/>
      <c r="AA363" s="503"/>
      <c r="AB363" s="503"/>
      <c r="AC363" s="504"/>
      <c r="AD363" s="504"/>
      <c r="AE363" s="504"/>
      <c r="AF363" s="504"/>
      <c r="AG363" s="505"/>
      <c r="AH363" s="505"/>
    </row>
    <row r="364" spans="2:34" ht="15" x14ac:dyDescent="0.25">
      <c r="B364" s="508" t="s">
        <v>466</v>
      </c>
      <c r="C364" s="501"/>
      <c r="D364" s="501"/>
      <c r="E364" s="501"/>
      <c r="F364" s="501"/>
      <c r="G364" s="501"/>
      <c r="H364" s="501"/>
      <c r="I364" s="501"/>
      <c r="J364" s="501"/>
      <c r="K364" s="501"/>
      <c r="L364" s="349"/>
      <c r="M364" s="349"/>
      <c r="N364" s="349"/>
      <c r="O364" s="349"/>
      <c r="P364" s="349"/>
      <c r="Q364" s="349"/>
      <c r="R364" s="349"/>
      <c r="S364" s="349"/>
      <c r="T364" s="349"/>
      <c r="U364" s="349"/>
      <c r="V364" s="502"/>
      <c r="W364" s="386"/>
      <c r="X364" s="503"/>
      <c r="Y364" s="503"/>
      <c r="Z364" s="503"/>
      <c r="AA364" s="503"/>
      <c r="AB364" s="503"/>
      <c r="AC364" s="507"/>
      <c r="AD364" s="507"/>
      <c r="AE364" s="507"/>
      <c r="AF364" s="507"/>
      <c r="AG364" s="505"/>
      <c r="AH364" s="505"/>
    </row>
    <row r="365" spans="2:34" ht="15" x14ac:dyDescent="0.25">
      <c r="B365" s="506" t="s">
        <v>1268</v>
      </c>
      <c r="C365" s="501"/>
      <c r="D365" s="501"/>
      <c r="E365" s="501"/>
      <c r="F365" s="501"/>
      <c r="G365" s="501"/>
      <c r="H365" s="501"/>
      <c r="I365" s="501"/>
      <c r="J365" s="501"/>
      <c r="K365" s="501"/>
      <c r="L365" s="349"/>
      <c r="M365" s="349"/>
      <c r="N365" s="349"/>
      <c r="O365" s="349"/>
      <c r="P365" s="349"/>
      <c r="Q365" s="349"/>
      <c r="R365" s="349"/>
      <c r="S365" s="349"/>
      <c r="T365" s="349"/>
      <c r="U365" s="349"/>
      <c r="V365" s="502"/>
      <c r="W365" s="386"/>
      <c r="X365" s="503"/>
      <c r="Y365" s="503"/>
      <c r="Z365" s="503"/>
      <c r="AA365" s="503"/>
      <c r="AB365" s="503"/>
      <c r="AC365" s="504"/>
      <c r="AD365" s="504"/>
      <c r="AE365" s="504"/>
      <c r="AF365" s="504"/>
      <c r="AG365" s="505"/>
      <c r="AH365" s="505"/>
    </row>
    <row r="366" spans="2:34" ht="15" x14ac:dyDescent="0.25">
      <c r="B366" s="506" t="s">
        <v>590</v>
      </c>
      <c r="C366" s="499"/>
      <c r="D366" s="499"/>
      <c r="E366" s="499"/>
      <c r="F366" s="499"/>
      <c r="G366" s="499"/>
      <c r="H366" s="499"/>
      <c r="I366" s="499"/>
      <c r="J366" s="499"/>
      <c r="K366" s="499"/>
      <c r="L366" s="499"/>
      <c r="M366" s="499"/>
      <c r="N366" s="499"/>
      <c r="O366" s="499"/>
      <c r="P366" s="499"/>
      <c r="Q366" s="499"/>
      <c r="R366" s="499"/>
      <c r="S366" s="499"/>
      <c r="T366" s="499"/>
      <c r="U366" s="499"/>
      <c r="V366" s="499"/>
      <c r="W366" s="499"/>
      <c r="X366" s="499"/>
      <c r="Y366" s="499"/>
      <c r="Z366" s="499"/>
      <c r="AA366" s="499"/>
      <c r="AB366" s="499"/>
      <c r="AC366" s="499"/>
      <c r="AD366" s="499"/>
      <c r="AE366" s="499"/>
      <c r="AF366" s="499"/>
    </row>
  </sheetData>
  <sheetProtection algorithmName="SHA-512" hashValue="veThGOEm7uAQ0Z9RGhsL25IpPe+zPDYBNf0A5H4/Xlye7Z2xuLVAQnT7VDr1vqe2g9eaEUa/aAVQ1UgCHuggbA==" saltValue="Hc/zyK809NDcwQMX8mgzlA==" spinCount="100000" sheet="1" selectLockedCells="1"/>
  <conditionalFormatting sqref="S4:S365">
    <cfRule type="cellIs" dxfId="1" priority="1" operator="equal">
      <formula>"FALSE"</formula>
    </cfRule>
    <cfRule type="cellIs" dxfId="0" priority="2" operator="equal">
      <formula>"True"</formula>
    </cfRule>
  </conditionalFormatting>
  <pageMargins left="0.7" right="0.7" top="0.75" bottom="0.75" header="0.3" footer="0.3"/>
  <pageSetup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466"/>
  <sheetViews>
    <sheetView workbookViewId="0">
      <pane ySplit="1" topLeftCell="A165" activePane="bottomLeft" state="frozen"/>
      <selection activeCell="C3" sqref="C3"/>
      <selection pane="bottomLeft" activeCell="C181" sqref="C181"/>
    </sheetView>
  </sheetViews>
  <sheetFormatPr defaultColWidth="9.140625" defaultRowHeight="12.75" x14ac:dyDescent="0.2"/>
  <cols>
    <col min="1" max="1" width="13.42578125" style="441" bestFit="1" customWidth="1"/>
    <col min="2" max="2" width="26.7109375" style="450" customWidth="1"/>
    <col min="3" max="3" width="84.7109375" style="450" customWidth="1"/>
    <col min="4" max="4" width="84.85546875" style="450" customWidth="1"/>
    <col min="5" max="16384" width="9.140625" style="373"/>
  </cols>
  <sheetData>
    <row r="1" spans="1:4" x14ac:dyDescent="0.2">
      <c r="A1" s="428" t="s">
        <v>1365</v>
      </c>
      <c r="B1" s="442" t="s">
        <v>538</v>
      </c>
      <c r="C1" s="451" t="s">
        <v>1464</v>
      </c>
      <c r="D1" s="442" t="s">
        <v>540</v>
      </c>
    </row>
    <row r="2" spans="1:4" ht="26.45" hidden="1" customHeight="1" x14ac:dyDescent="0.2">
      <c r="A2" s="429">
        <v>2016</v>
      </c>
      <c r="B2" s="443" t="s">
        <v>539</v>
      </c>
      <c r="C2" s="443" t="s">
        <v>541</v>
      </c>
      <c r="D2" s="443" t="s">
        <v>542</v>
      </c>
    </row>
    <row r="3" spans="1:4" ht="39.6" hidden="1" customHeight="1" x14ac:dyDescent="0.2">
      <c r="A3" s="429"/>
      <c r="B3" s="443" t="s">
        <v>556</v>
      </c>
      <c r="C3" s="443" t="s">
        <v>557</v>
      </c>
      <c r="D3" s="443" t="s">
        <v>558</v>
      </c>
    </row>
    <row r="4" spans="1:4" ht="26.45" hidden="1" customHeight="1" x14ac:dyDescent="0.2">
      <c r="A4" s="429"/>
      <c r="B4" s="443" t="s">
        <v>556</v>
      </c>
      <c r="C4" s="443" t="s">
        <v>568</v>
      </c>
      <c r="D4" s="443" t="s">
        <v>569</v>
      </c>
    </row>
    <row r="5" spans="1:4" ht="39.6" hidden="1" customHeight="1" x14ac:dyDescent="0.2">
      <c r="A5" s="429"/>
      <c r="B5" s="444" t="s">
        <v>556</v>
      </c>
      <c r="C5" s="444" t="s">
        <v>584</v>
      </c>
      <c r="D5" s="444" t="s">
        <v>585</v>
      </c>
    </row>
    <row r="6" spans="1:4" ht="13.15" hidden="1" customHeight="1" x14ac:dyDescent="0.2">
      <c r="A6" s="429"/>
      <c r="B6" s="443" t="s">
        <v>108</v>
      </c>
      <c r="C6" s="443" t="s">
        <v>563</v>
      </c>
      <c r="D6" s="443" t="s">
        <v>564</v>
      </c>
    </row>
    <row r="7" spans="1:4" ht="26.45" hidden="1" customHeight="1" x14ac:dyDescent="0.2">
      <c r="A7" s="429"/>
      <c r="B7" s="444" t="s">
        <v>108</v>
      </c>
      <c r="C7" s="444" t="s">
        <v>580</v>
      </c>
      <c r="D7" s="444" t="s">
        <v>581</v>
      </c>
    </row>
    <row r="8" spans="1:4" ht="26.45" hidden="1" customHeight="1" x14ac:dyDescent="0.2">
      <c r="A8" s="429"/>
      <c r="B8" s="444" t="s">
        <v>108</v>
      </c>
      <c r="C8" s="444" t="s">
        <v>582</v>
      </c>
      <c r="D8" s="444" t="s">
        <v>583</v>
      </c>
    </row>
    <row r="9" spans="1:4" ht="26.45" hidden="1" customHeight="1" x14ac:dyDescent="0.2">
      <c r="A9" s="429"/>
      <c r="B9" s="444" t="s">
        <v>108</v>
      </c>
      <c r="C9" s="444" t="s">
        <v>588</v>
      </c>
      <c r="D9" s="444" t="s">
        <v>589</v>
      </c>
    </row>
    <row r="10" spans="1:4" ht="26.45" hidden="1" customHeight="1" x14ac:dyDescent="0.2">
      <c r="A10" s="429"/>
      <c r="B10" s="443" t="s">
        <v>107</v>
      </c>
      <c r="C10" s="443" t="s">
        <v>547</v>
      </c>
      <c r="D10" s="443" t="s">
        <v>548</v>
      </c>
    </row>
    <row r="11" spans="1:4" ht="26.45" hidden="1" customHeight="1" x14ac:dyDescent="0.2">
      <c r="A11" s="429"/>
      <c r="B11" s="445" t="s">
        <v>107</v>
      </c>
      <c r="C11" s="445" t="s">
        <v>578</v>
      </c>
      <c r="D11" s="445" t="s">
        <v>579</v>
      </c>
    </row>
    <row r="12" spans="1:4" ht="26.45" hidden="1" customHeight="1" x14ac:dyDescent="0.2">
      <c r="A12" s="429"/>
      <c r="B12" s="444" t="s">
        <v>107</v>
      </c>
      <c r="C12" s="444" t="s">
        <v>572</v>
      </c>
      <c r="D12" s="444" t="s">
        <v>573</v>
      </c>
    </row>
    <row r="13" spans="1:4" ht="39.6" hidden="1" customHeight="1" x14ac:dyDescent="0.2">
      <c r="A13" s="429"/>
      <c r="B13" s="444" t="s">
        <v>107</v>
      </c>
      <c r="C13" s="444" t="s">
        <v>574</v>
      </c>
      <c r="D13" s="444" t="s">
        <v>575</v>
      </c>
    </row>
    <row r="14" spans="1:4" ht="26.45" hidden="1" customHeight="1" x14ac:dyDescent="0.2">
      <c r="A14" s="429"/>
      <c r="B14" s="443" t="s">
        <v>576</v>
      </c>
      <c r="C14" s="443" t="s">
        <v>565</v>
      </c>
      <c r="D14" s="443" t="s">
        <v>566</v>
      </c>
    </row>
    <row r="15" spans="1:4" ht="26.45" hidden="1" customHeight="1" x14ac:dyDescent="0.2">
      <c r="A15" s="429"/>
      <c r="B15" s="444" t="s">
        <v>576</v>
      </c>
      <c r="C15" s="444" t="s">
        <v>586</v>
      </c>
      <c r="D15" s="444" t="s">
        <v>577</v>
      </c>
    </row>
    <row r="16" spans="1:4" ht="13.15" hidden="1" customHeight="1" x14ac:dyDescent="0.2">
      <c r="A16" s="429"/>
      <c r="B16" s="443" t="s">
        <v>545</v>
      </c>
      <c r="C16" s="443" t="s">
        <v>587</v>
      </c>
      <c r="D16" s="443" t="s">
        <v>546</v>
      </c>
    </row>
    <row r="17" spans="1:4" ht="26.45" hidden="1" customHeight="1" x14ac:dyDescent="0.2">
      <c r="A17" s="429"/>
      <c r="B17" s="443" t="s">
        <v>545</v>
      </c>
      <c r="C17" s="443" t="s">
        <v>567</v>
      </c>
      <c r="D17" s="443" t="s">
        <v>570</v>
      </c>
    </row>
    <row r="18" spans="1:4" ht="26.45" hidden="1" customHeight="1" x14ac:dyDescent="0.2">
      <c r="A18" s="429"/>
      <c r="B18" s="443" t="s">
        <v>103</v>
      </c>
      <c r="C18" s="443" t="s">
        <v>544</v>
      </c>
      <c r="D18" s="443" t="s">
        <v>543</v>
      </c>
    </row>
    <row r="19" spans="1:4" ht="26.45" hidden="1" customHeight="1" x14ac:dyDescent="0.2">
      <c r="A19" s="429"/>
      <c r="B19" s="443" t="s">
        <v>539</v>
      </c>
      <c r="C19" s="443" t="s">
        <v>550</v>
      </c>
      <c r="D19" s="443" t="s">
        <v>551</v>
      </c>
    </row>
    <row r="20" spans="1:4" ht="26.45" hidden="1" customHeight="1" x14ac:dyDescent="0.2">
      <c r="A20" s="429"/>
      <c r="B20" s="443" t="s">
        <v>539</v>
      </c>
      <c r="C20" s="443" t="s">
        <v>552</v>
      </c>
      <c r="D20" s="443" t="s">
        <v>553</v>
      </c>
    </row>
    <row r="21" spans="1:4" ht="39.6" hidden="1" customHeight="1" x14ac:dyDescent="0.2">
      <c r="A21" s="429"/>
      <c r="B21" s="443" t="s">
        <v>539</v>
      </c>
      <c r="C21" s="443" t="s">
        <v>559</v>
      </c>
      <c r="D21" s="443" t="s">
        <v>560</v>
      </c>
    </row>
    <row r="22" spans="1:4" ht="26.45" hidden="1" customHeight="1" x14ac:dyDescent="0.2">
      <c r="A22" s="429"/>
      <c r="B22" s="443" t="s">
        <v>539</v>
      </c>
      <c r="C22" s="443" t="s">
        <v>561</v>
      </c>
      <c r="D22" s="443" t="s">
        <v>562</v>
      </c>
    </row>
    <row r="23" spans="1:4" ht="13.15" hidden="1" customHeight="1" x14ac:dyDescent="0.2">
      <c r="A23" s="429"/>
      <c r="B23" s="443" t="s">
        <v>591</v>
      </c>
      <c r="C23" s="443" t="s">
        <v>594</v>
      </c>
      <c r="D23" s="443" t="s">
        <v>592</v>
      </c>
    </row>
    <row r="24" spans="1:4" ht="26.45" hidden="1" customHeight="1" x14ac:dyDescent="0.2">
      <c r="A24" s="429"/>
      <c r="B24" s="443" t="s">
        <v>103</v>
      </c>
      <c r="C24" s="443" t="s">
        <v>593</v>
      </c>
      <c r="D24" s="443" t="s">
        <v>592</v>
      </c>
    </row>
    <row r="25" spans="1:4" ht="26.45" hidden="1" customHeight="1" x14ac:dyDescent="0.2">
      <c r="A25" s="429">
        <v>2017</v>
      </c>
      <c r="B25" s="446" t="s">
        <v>539</v>
      </c>
      <c r="C25" s="446" t="s">
        <v>1192</v>
      </c>
      <c r="D25" s="446" t="s">
        <v>1193</v>
      </c>
    </row>
    <row r="26" spans="1:4" ht="13.15" hidden="1" customHeight="1" x14ac:dyDescent="0.2">
      <c r="A26" s="429"/>
      <c r="B26" s="446" t="s">
        <v>539</v>
      </c>
      <c r="C26" s="446" t="s">
        <v>1194</v>
      </c>
      <c r="D26" s="446" t="s">
        <v>1195</v>
      </c>
    </row>
    <row r="27" spans="1:4" ht="13.15" hidden="1" customHeight="1" x14ac:dyDescent="0.2">
      <c r="A27" s="429"/>
      <c r="B27" s="443" t="s">
        <v>545</v>
      </c>
      <c r="C27" s="443" t="s">
        <v>1223</v>
      </c>
      <c r="D27" s="443" t="s">
        <v>1222</v>
      </c>
    </row>
    <row r="28" spans="1:4" ht="26.45" hidden="1" customHeight="1" x14ac:dyDescent="0.2">
      <c r="A28" s="429"/>
      <c r="B28" s="443" t="s">
        <v>556</v>
      </c>
      <c r="C28" s="443" t="s">
        <v>1232</v>
      </c>
      <c r="D28" s="443" t="s">
        <v>1233</v>
      </c>
    </row>
    <row r="29" spans="1:4" ht="13.15" hidden="1" customHeight="1" x14ac:dyDescent="0.2">
      <c r="A29" s="429"/>
      <c r="B29" s="443" t="s">
        <v>1234</v>
      </c>
      <c r="C29" s="443" t="s">
        <v>1235</v>
      </c>
      <c r="D29" s="443" t="s">
        <v>1251</v>
      </c>
    </row>
    <row r="30" spans="1:4" ht="26.45" hidden="1" customHeight="1" x14ac:dyDescent="0.2">
      <c r="A30" s="429"/>
      <c r="B30" s="446" t="s">
        <v>1236</v>
      </c>
      <c r="C30" s="446" t="s">
        <v>1237</v>
      </c>
      <c r="D30" s="446" t="s">
        <v>1238</v>
      </c>
    </row>
    <row r="31" spans="1:4" ht="13.15" hidden="1" customHeight="1" x14ac:dyDescent="0.2">
      <c r="A31" s="429"/>
      <c r="B31" s="446" t="s">
        <v>539</v>
      </c>
      <c r="C31" s="446" t="s">
        <v>1239</v>
      </c>
      <c r="D31" s="446" t="s">
        <v>1240</v>
      </c>
    </row>
    <row r="32" spans="1:4" ht="13.15" hidden="1" customHeight="1" x14ac:dyDescent="0.2">
      <c r="A32" s="429"/>
      <c r="B32" s="443" t="s">
        <v>591</v>
      </c>
      <c r="C32" s="443" t="s">
        <v>1243</v>
      </c>
      <c r="D32" s="443" t="s">
        <v>1244</v>
      </c>
    </row>
    <row r="33" spans="1:4" ht="26.45" hidden="1" customHeight="1" x14ac:dyDescent="0.2">
      <c r="A33" s="429"/>
      <c r="B33" s="443" t="s">
        <v>103</v>
      </c>
      <c r="C33" s="443" t="s">
        <v>1245</v>
      </c>
      <c r="D33" s="443" t="s">
        <v>1244</v>
      </c>
    </row>
    <row r="34" spans="1:4" ht="26.45" hidden="1" customHeight="1" x14ac:dyDescent="0.2">
      <c r="A34" s="429"/>
      <c r="B34" s="443" t="s">
        <v>545</v>
      </c>
      <c r="C34" s="443" t="s">
        <v>1253</v>
      </c>
      <c r="D34" s="443" t="s">
        <v>1252</v>
      </c>
    </row>
    <row r="35" spans="1:4" ht="26.45" hidden="1" customHeight="1" x14ac:dyDescent="0.2">
      <c r="A35" s="429"/>
      <c r="B35" s="445" t="s">
        <v>107</v>
      </c>
      <c r="C35" s="445" t="s">
        <v>578</v>
      </c>
      <c r="D35" s="445" t="s">
        <v>579</v>
      </c>
    </row>
    <row r="36" spans="1:4" ht="26.45" hidden="1" customHeight="1" x14ac:dyDescent="0.2">
      <c r="A36" s="429"/>
      <c r="B36" s="444" t="s">
        <v>108</v>
      </c>
      <c r="C36" s="444" t="s">
        <v>588</v>
      </c>
      <c r="D36" s="444" t="s">
        <v>1246</v>
      </c>
    </row>
    <row r="37" spans="1:4" ht="26.45" hidden="1" customHeight="1" x14ac:dyDescent="0.2">
      <c r="A37" s="429"/>
      <c r="B37" s="443" t="s">
        <v>539</v>
      </c>
      <c r="C37" s="443" t="s">
        <v>1247</v>
      </c>
      <c r="D37" s="443" t="s">
        <v>1248</v>
      </c>
    </row>
    <row r="38" spans="1:4" ht="26.45" hidden="1" customHeight="1" x14ac:dyDescent="0.2">
      <c r="A38" s="429">
        <v>2018</v>
      </c>
      <c r="B38" s="445" t="s">
        <v>107</v>
      </c>
      <c r="C38" s="445" t="s">
        <v>1249</v>
      </c>
      <c r="D38" s="445" t="s">
        <v>1250</v>
      </c>
    </row>
    <row r="39" spans="1:4" ht="13.15" hidden="1" customHeight="1" x14ac:dyDescent="0.2">
      <c r="A39" s="429"/>
      <c r="B39" s="444" t="s">
        <v>107</v>
      </c>
      <c r="C39" s="444" t="s">
        <v>1262</v>
      </c>
      <c r="D39" s="444" t="s">
        <v>1263</v>
      </c>
    </row>
    <row r="40" spans="1:4" ht="13.15" hidden="1" customHeight="1" x14ac:dyDescent="0.2">
      <c r="A40" s="429"/>
      <c r="B40" s="444" t="s">
        <v>108</v>
      </c>
      <c r="C40" s="444" t="s">
        <v>1276</v>
      </c>
      <c r="D40" s="444" t="s">
        <v>1277</v>
      </c>
    </row>
    <row r="41" spans="1:4" ht="26.45" hidden="1" customHeight="1" x14ac:dyDescent="0.2">
      <c r="A41" s="429"/>
      <c r="B41" s="443" t="s">
        <v>539</v>
      </c>
      <c r="C41" s="443" t="s">
        <v>1254</v>
      </c>
      <c r="D41" s="443" t="s">
        <v>1255</v>
      </c>
    </row>
    <row r="42" spans="1:4" ht="26.45" hidden="1" customHeight="1" x14ac:dyDescent="0.2">
      <c r="A42" s="429"/>
      <c r="B42" s="443" t="s">
        <v>539</v>
      </c>
      <c r="C42" s="443" t="s">
        <v>1274</v>
      </c>
      <c r="D42" s="443" t="s">
        <v>1275</v>
      </c>
    </row>
    <row r="43" spans="1:4" ht="26.45" hidden="1" customHeight="1" x14ac:dyDescent="0.2">
      <c r="A43" s="429"/>
      <c r="B43" s="444" t="s">
        <v>576</v>
      </c>
      <c r="C43" s="444" t="s">
        <v>1256</v>
      </c>
      <c r="D43" s="444" t="s">
        <v>1257</v>
      </c>
    </row>
    <row r="44" spans="1:4" ht="26.45" hidden="1" customHeight="1" x14ac:dyDescent="0.2">
      <c r="A44" s="429"/>
      <c r="B44" s="444" t="s">
        <v>1259</v>
      </c>
      <c r="C44" s="444" t="s">
        <v>1260</v>
      </c>
      <c r="D44" s="444" t="s">
        <v>1261</v>
      </c>
    </row>
    <row r="45" spans="1:4" ht="13.15" hidden="1" customHeight="1" x14ac:dyDescent="0.2">
      <c r="A45" s="429"/>
      <c r="B45" s="444" t="s">
        <v>1259</v>
      </c>
      <c r="C45" s="452" t="s">
        <v>1296</v>
      </c>
      <c r="D45" s="444" t="s">
        <v>1266</v>
      </c>
    </row>
    <row r="46" spans="1:4" ht="39.6" hidden="1" customHeight="1" x14ac:dyDescent="0.2">
      <c r="A46" s="429"/>
      <c r="B46" s="444" t="s">
        <v>497</v>
      </c>
      <c r="C46" s="444" t="s">
        <v>1264</v>
      </c>
      <c r="D46" s="444" t="s">
        <v>1265</v>
      </c>
    </row>
    <row r="47" spans="1:4" ht="13.15" hidden="1" customHeight="1" x14ac:dyDescent="0.2">
      <c r="A47" s="429"/>
      <c r="B47" s="443" t="s">
        <v>591</v>
      </c>
      <c r="C47" s="443" t="s">
        <v>1269</v>
      </c>
      <c r="D47" s="443" t="s">
        <v>1270</v>
      </c>
    </row>
    <row r="48" spans="1:4" ht="13.15" hidden="1" customHeight="1" x14ac:dyDescent="0.2">
      <c r="A48" s="429"/>
      <c r="B48" s="443" t="s">
        <v>591</v>
      </c>
      <c r="C48" s="443" t="s">
        <v>1272</v>
      </c>
      <c r="D48" s="443" t="s">
        <v>1273</v>
      </c>
    </row>
    <row r="49" spans="1:4" ht="26.45" hidden="1" customHeight="1" x14ac:dyDescent="0.2">
      <c r="A49" s="429"/>
      <c r="B49" s="443" t="s">
        <v>103</v>
      </c>
      <c r="C49" s="443" t="s">
        <v>1271</v>
      </c>
      <c r="D49" s="443" t="s">
        <v>1270</v>
      </c>
    </row>
    <row r="50" spans="1:4" ht="26.45" hidden="1" customHeight="1" x14ac:dyDescent="0.2">
      <c r="A50" s="429"/>
      <c r="B50" s="446" t="s">
        <v>1236</v>
      </c>
      <c r="C50" s="446" t="s">
        <v>1278</v>
      </c>
      <c r="D50" s="446" t="s">
        <v>1279</v>
      </c>
    </row>
    <row r="51" spans="1:4" ht="13.15" hidden="1" customHeight="1" x14ac:dyDescent="0.2">
      <c r="A51" s="429"/>
      <c r="B51" s="427" t="s">
        <v>1280</v>
      </c>
      <c r="C51" s="427" t="s">
        <v>1281</v>
      </c>
      <c r="D51" s="427" t="s">
        <v>1282</v>
      </c>
    </row>
    <row r="52" spans="1:4" ht="39.6" hidden="1" customHeight="1" x14ac:dyDescent="0.2">
      <c r="A52" s="429"/>
      <c r="B52" s="427" t="s">
        <v>108</v>
      </c>
      <c r="C52" s="427" t="s">
        <v>1284</v>
      </c>
      <c r="D52" s="427" t="s">
        <v>1285</v>
      </c>
    </row>
    <row r="53" spans="1:4" ht="26.45" hidden="1" customHeight="1" x14ac:dyDescent="0.2">
      <c r="A53" s="429">
        <v>2019</v>
      </c>
      <c r="B53" s="447" t="s">
        <v>106</v>
      </c>
      <c r="C53" s="447" t="s">
        <v>1286</v>
      </c>
      <c r="D53" s="447" t="s">
        <v>1287</v>
      </c>
    </row>
    <row r="54" spans="1:4" ht="26.45" hidden="1" customHeight="1" x14ac:dyDescent="0.2">
      <c r="A54" s="429"/>
      <c r="B54" s="447" t="s">
        <v>106</v>
      </c>
      <c r="C54" s="427" t="s">
        <v>1288</v>
      </c>
      <c r="D54" s="427" t="s">
        <v>1289</v>
      </c>
    </row>
    <row r="55" spans="1:4" ht="26.45" hidden="1" customHeight="1" x14ac:dyDescent="0.2">
      <c r="A55" s="429"/>
      <c r="B55" s="447" t="s">
        <v>106</v>
      </c>
      <c r="C55" s="427" t="s">
        <v>1290</v>
      </c>
      <c r="D55" s="427" t="s">
        <v>1291</v>
      </c>
    </row>
    <row r="56" spans="1:4" ht="13.15" hidden="1" customHeight="1" x14ac:dyDescent="0.2">
      <c r="A56" s="429"/>
      <c r="B56" s="427" t="s">
        <v>108</v>
      </c>
      <c r="C56" s="427" t="s">
        <v>1292</v>
      </c>
      <c r="D56" s="427" t="s">
        <v>1294</v>
      </c>
    </row>
    <row r="57" spans="1:4" ht="26.45" hidden="1" customHeight="1" x14ac:dyDescent="0.2">
      <c r="A57" s="429"/>
      <c r="B57" s="427" t="s">
        <v>108</v>
      </c>
      <c r="C57" s="427" t="s">
        <v>1293</v>
      </c>
      <c r="D57" s="427" t="s">
        <v>1295</v>
      </c>
    </row>
    <row r="58" spans="1:4" ht="26.45" hidden="1" customHeight="1" x14ac:dyDescent="0.2">
      <c r="A58" s="429"/>
      <c r="B58" s="427" t="s">
        <v>108</v>
      </c>
      <c r="C58" s="427" t="s">
        <v>1298</v>
      </c>
      <c r="D58" s="427" t="s">
        <v>1302</v>
      </c>
    </row>
    <row r="59" spans="1:4" ht="26.45" hidden="1" customHeight="1" x14ac:dyDescent="0.2">
      <c r="A59" s="429"/>
      <c r="B59" s="427" t="s">
        <v>497</v>
      </c>
      <c r="C59" s="427" t="s">
        <v>1306</v>
      </c>
      <c r="D59" s="427" t="s">
        <v>1302</v>
      </c>
    </row>
    <row r="60" spans="1:4" ht="39.6" hidden="1" customHeight="1" x14ac:dyDescent="0.2">
      <c r="A60" s="429"/>
      <c r="B60" s="427" t="s">
        <v>107</v>
      </c>
      <c r="C60" s="427" t="s">
        <v>1310</v>
      </c>
      <c r="D60" s="427" t="s">
        <v>1305</v>
      </c>
    </row>
    <row r="61" spans="1:4" ht="26.45" hidden="1" customHeight="1" x14ac:dyDescent="0.2">
      <c r="A61" s="429"/>
      <c r="B61" s="427" t="s">
        <v>108</v>
      </c>
      <c r="C61" s="427" t="s">
        <v>1299</v>
      </c>
      <c r="D61" s="427" t="s">
        <v>1300</v>
      </c>
    </row>
    <row r="62" spans="1:4" ht="26.45" hidden="1" customHeight="1" x14ac:dyDescent="0.2">
      <c r="A62" s="429"/>
      <c r="B62" s="446" t="s">
        <v>1236</v>
      </c>
      <c r="C62" s="446" t="s">
        <v>1278</v>
      </c>
      <c r="D62" s="427" t="s">
        <v>1300</v>
      </c>
    </row>
    <row r="63" spans="1:4" ht="39.6" hidden="1" customHeight="1" x14ac:dyDescent="0.2">
      <c r="A63" s="429"/>
      <c r="B63" s="427" t="s">
        <v>108</v>
      </c>
      <c r="C63" s="427" t="s">
        <v>1307</v>
      </c>
      <c r="D63" s="427" t="s">
        <v>1301</v>
      </c>
    </row>
    <row r="64" spans="1:4" ht="13.15" hidden="1" customHeight="1" x14ac:dyDescent="0.2">
      <c r="A64" s="429"/>
      <c r="B64" s="427" t="s">
        <v>496</v>
      </c>
      <c r="C64" s="427" t="s">
        <v>1303</v>
      </c>
      <c r="D64" s="427" t="s">
        <v>1304</v>
      </c>
    </row>
    <row r="65" spans="1:5" ht="13.15" hidden="1" customHeight="1" x14ac:dyDescent="0.2">
      <c r="A65" s="429"/>
      <c r="B65" s="427" t="s">
        <v>108</v>
      </c>
      <c r="C65" s="427" t="s">
        <v>1308</v>
      </c>
      <c r="D65" s="427" t="s">
        <v>1309</v>
      </c>
    </row>
    <row r="66" spans="1:5" ht="13.15" hidden="1" customHeight="1" x14ac:dyDescent="0.2">
      <c r="A66" s="429"/>
      <c r="B66" s="457" t="s">
        <v>1312</v>
      </c>
      <c r="C66" s="458"/>
      <c r="D66" s="458"/>
    </row>
    <row r="67" spans="1:5" ht="13.15" hidden="1" customHeight="1" x14ac:dyDescent="0.2">
      <c r="A67" s="429"/>
      <c r="B67" s="443" t="s">
        <v>591</v>
      </c>
      <c r="C67" s="427" t="s">
        <v>1313</v>
      </c>
      <c r="D67" s="427" t="s">
        <v>1314</v>
      </c>
    </row>
    <row r="68" spans="1:5" ht="13.15" hidden="1" customHeight="1" x14ac:dyDescent="0.2">
      <c r="A68" s="429"/>
      <c r="B68" s="443" t="s">
        <v>591</v>
      </c>
      <c r="C68" s="427" t="s">
        <v>1315</v>
      </c>
      <c r="D68" s="427" t="s">
        <v>1316</v>
      </c>
    </row>
    <row r="69" spans="1:5" ht="26.45" hidden="1" customHeight="1" x14ac:dyDescent="0.2">
      <c r="A69" s="429"/>
      <c r="B69" s="427" t="s">
        <v>545</v>
      </c>
      <c r="C69" s="427" t="s">
        <v>1317</v>
      </c>
      <c r="D69" s="427" t="s">
        <v>1318</v>
      </c>
    </row>
    <row r="70" spans="1:5" ht="13.15" hidden="1" customHeight="1" x14ac:dyDescent="0.2">
      <c r="A70" s="430">
        <v>43966</v>
      </c>
      <c r="B70" s="427" t="s">
        <v>591</v>
      </c>
      <c r="C70" s="427" t="s">
        <v>1319</v>
      </c>
      <c r="D70" s="427" t="s">
        <v>1320</v>
      </c>
      <c r="E70" s="387"/>
    </row>
    <row r="71" spans="1:5" ht="26.45" hidden="1" customHeight="1" x14ac:dyDescent="0.2">
      <c r="A71" s="429"/>
      <c r="B71" s="447" t="s">
        <v>106</v>
      </c>
      <c r="C71" s="427" t="s">
        <v>1247</v>
      </c>
      <c r="D71" s="427" t="s">
        <v>1322</v>
      </c>
      <c r="E71" s="387"/>
    </row>
    <row r="72" spans="1:5" ht="26.45" hidden="1" customHeight="1" x14ac:dyDescent="0.2">
      <c r="A72" s="429"/>
      <c r="B72" s="427" t="s">
        <v>108</v>
      </c>
      <c r="C72" s="427" t="s">
        <v>1299</v>
      </c>
      <c r="D72" s="427" t="s">
        <v>1321</v>
      </c>
      <c r="E72" s="387"/>
    </row>
    <row r="73" spans="1:5" ht="26.45" hidden="1" customHeight="1" x14ac:dyDescent="0.2">
      <c r="A73" s="429"/>
      <c r="B73" s="446" t="s">
        <v>1236</v>
      </c>
      <c r="C73" s="446" t="s">
        <v>1278</v>
      </c>
      <c r="D73" s="427" t="s">
        <v>1321</v>
      </c>
      <c r="E73" s="387"/>
    </row>
    <row r="74" spans="1:5" ht="13.15" hidden="1" customHeight="1" x14ac:dyDescent="0.2">
      <c r="A74" s="429"/>
      <c r="B74" s="446" t="s">
        <v>497</v>
      </c>
      <c r="C74" s="446" t="s">
        <v>1323</v>
      </c>
      <c r="D74" s="427" t="s">
        <v>1324</v>
      </c>
      <c r="E74" s="387"/>
    </row>
    <row r="75" spans="1:5" ht="26.45" hidden="1" customHeight="1" x14ac:dyDescent="0.2">
      <c r="A75" s="429"/>
      <c r="B75" s="427" t="s">
        <v>106</v>
      </c>
      <c r="C75" s="427" t="s">
        <v>1333</v>
      </c>
      <c r="D75" s="453" t="s">
        <v>1334</v>
      </c>
      <c r="E75" s="387"/>
    </row>
    <row r="76" spans="1:5" ht="26.45" hidden="1" customHeight="1" x14ac:dyDescent="0.2">
      <c r="A76" s="429"/>
      <c r="B76" s="427" t="s">
        <v>108</v>
      </c>
      <c r="C76" s="454" t="s">
        <v>1325</v>
      </c>
      <c r="D76" s="427" t="s">
        <v>1329</v>
      </c>
      <c r="E76" s="387"/>
    </row>
    <row r="77" spans="1:5" ht="26.45" hidden="1" customHeight="1" x14ac:dyDescent="0.2">
      <c r="A77" s="429"/>
      <c r="B77" s="427" t="s">
        <v>107</v>
      </c>
      <c r="C77" s="454" t="s">
        <v>1335</v>
      </c>
      <c r="D77" s="427" t="s">
        <v>1336</v>
      </c>
      <c r="E77" s="387"/>
    </row>
    <row r="78" spans="1:5" ht="39.6" hidden="1" customHeight="1" x14ac:dyDescent="0.2">
      <c r="A78" s="429"/>
      <c r="B78" s="427" t="s">
        <v>1328</v>
      </c>
      <c r="C78" s="454" t="s">
        <v>1338</v>
      </c>
      <c r="D78" s="454" t="s">
        <v>1326</v>
      </c>
      <c r="E78" s="387"/>
    </row>
    <row r="79" spans="1:5" ht="13.15" hidden="1" customHeight="1" x14ac:dyDescent="0.2">
      <c r="A79" s="429"/>
      <c r="B79" s="427" t="s">
        <v>107</v>
      </c>
      <c r="C79" s="454" t="s">
        <v>1337</v>
      </c>
      <c r="D79" s="454" t="s">
        <v>1327</v>
      </c>
      <c r="E79" s="387"/>
    </row>
    <row r="80" spans="1:5" ht="39.6" hidden="1" customHeight="1" x14ac:dyDescent="0.2">
      <c r="A80" s="429"/>
      <c r="B80" s="427" t="s">
        <v>1330</v>
      </c>
      <c r="C80" s="454" t="s">
        <v>1331</v>
      </c>
      <c r="D80" s="454" t="s">
        <v>1332</v>
      </c>
      <c r="E80" s="387"/>
    </row>
    <row r="81" spans="1:5" ht="93" hidden="1" customHeight="1" thickBot="1" x14ac:dyDescent="0.25">
      <c r="A81" s="431"/>
      <c r="B81" s="448" t="s">
        <v>556</v>
      </c>
      <c r="C81" s="455" t="s">
        <v>1342</v>
      </c>
      <c r="D81" s="448" t="s">
        <v>1341</v>
      </c>
      <c r="E81" s="387"/>
    </row>
    <row r="82" spans="1:5" x14ac:dyDescent="0.2">
      <c r="A82" s="432">
        <v>44265</v>
      </c>
      <c r="B82" s="449" t="s">
        <v>103</v>
      </c>
      <c r="C82" s="449" t="s">
        <v>1344</v>
      </c>
      <c r="D82" s="449" t="s">
        <v>1343</v>
      </c>
    </row>
    <row r="83" spans="1:5" x14ac:dyDescent="0.2">
      <c r="A83" s="429"/>
      <c r="B83" s="427" t="s">
        <v>103</v>
      </c>
      <c r="C83" s="427" t="s">
        <v>1345</v>
      </c>
      <c r="D83" s="427" t="s">
        <v>1343</v>
      </c>
    </row>
    <row r="84" spans="1:5" ht="25.5" x14ac:dyDescent="0.2">
      <c r="A84" s="429"/>
      <c r="B84" s="427" t="s">
        <v>105</v>
      </c>
      <c r="C84" s="427" t="s">
        <v>1351</v>
      </c>
      <c r="D84" s="427" t="s">
        <v>1352</v>
      </c>
    </row>
    <row r="85" spans="1:5" x14ac:dyDescent="0.2">
      <c r="A85" s="429"/>
      <c r="B85" s="427" t="s">
        <v>107</v>
      </c>
      <c r="C85" s="427" t="s">
        <v>1354</v>
      </c>
      <c r="D85" s="427" t="s">
        <v>1355</v>
      </c>
    </row>
    <row r="86" spans="1:5" ht="25.5" x14ac:dyDescent="0.2">
      <c r="A86" s="429"/>
      <c r="B86" s="427" t="s">
        <v>107</v>
      </c>
      <c r="C86" s="427" t="s">
        <v>1356</v>
      </c>
      <c r="D86" s="427" t="s">
        <v>1358</v>
      </c>
    </row>
    <row r="87" spans="1:5" x14ac:dyDescent="0.2">
      <c r="A87" s="429"/>
      <c r="B87" s="427" t="s">
        <v>545</v>
      </c>
      <c r="C87" s="427" t="s">
        <v>1353</v>
      </c>
      <c r="D87" s="427" t="s">
        <v>1357</v>
      </c>
    </row>
    <row r="88" spans="1:5" ht="27" customHeight="1" x14ac:dyDescent="0.2">
      <c r="A88" s="429"/>
      <c r="B88" s="427" t="s">
        <v>1359</v>
      </c>
      <c r="C88" s="427" t="s">
        <v>1360</v>
      </c>
      <c r="D88" s="427" t="s">
        <v>1361</v>
      </c>
    </row>
    <row r="89" spans="1:5" ht="41.45" customHeight="1" x14ac:dyDescent="0.2">
      <c r="A89" s="429"/>
      <c r="B89" s="427" t="s">
        <v>103</v>
      </c>
      <c r="C89" s="427" t="s">
        <v>1362</v>
      </c>
      <c r="D89" s="427" t="s">
        <v>1361</v>
      </c>
    </row>
    <row r="90" spans="1:5" ht="38.25" x14ac:dyDescent="0.2">
      <c r="A90" s="429"/>
      <c r="B90" s="427" t="s">
        <v>545</v>
      </c>
      <c r="C90" s="427" t="s">
        <v>1363</v>
      </c>
      <c r="D90" s="427" t="s">
        <v>1364</v>
      </c>
    </row>
    <row r="91" spans="1:5" x14ac:dyDescent="0.2">
      <c r="A91" s="433"/>
      <c r="B91" s="427" t="s">
        <v>1366</v>
      </c>
      <c r="C91" s="427" t="s">
        <v>1367</v>
      </c>
      <c r="D91" s="427" t="s">
        <v>1368</v>
      </c>
    </row>
    <row r="92" spans="1:5" ht="38.25" x14ac:dyDescent="0.2">
      <c r="A92" s="430">
        <v>44351</v>
      </c>
      <c r="B92" s="427" t="s">
        <v>1369</v>
      </c>
      <c r="C92" s="427" t="s">
        <v>1370</v>
      </c>
      <c r="D92" s="427" t="s">
        <v>1371</v>
      </c>
    </row>
    <row r="93" spans="1:5" x14ac:dyDescent="0.2">
      <c r="A93" s="430"/>
      <c r="B93" s="427" t="s">
        <v>1234</v>
      </c>
      <c r="C93" s="427" t="s">
        <v>1370</v>
      </c>
      <c r="D93" s="427" t="s">
        <v>1376</v>
      </c>
    </row>
    <row r="94" spans="1:5" x14ac:dyDescent="0.2">
      <c r="A94" s="430"/>
      <c r="B94" s="427" t="s">
        <v>545</v>
      </c>
      <c r="C94" s="427" t="s">
        <v>1389</v>
      </c>
      <c r="D94" s="427" t="s">
        <v>1377</v>
      </c>
    </row>
    <row r="95" spans="1:5" ht="25.5" x14ac:dyDescent="0.2">
      <c r="A95" s="430"/>
      <c r="B95" s="427" t="s">
        <v>107</v>
      </c>
      <c r="C95" s="427" t="s">
        <v>1370</v>
      </c>
      <c r="D95" s="427" t="s">
        <v>1378</v>
      </c>
    </row>
    <row r="96" spans="1:5" ht="14.45" customHeight="1" x14ac:dyDescent="0.2">
      <c r="A96" s="430"/>
      <c r="B96" s="427" t="s">
        <v>108</v>
      </c>
      <c r="C96" s="427" t="s">
        <v>1299</v>
      </c>
      <c r="D96" s="427" t="s">
        <v>1379</v>
      </c>
    </row>
    <row r="97" spans="1:4" x14ac:dyDescent="0.2">
      <c r="A97" s="430"/>
      <c r="B97" s="446" t="s">
        <v>1236</v>
      </c>
      <c r="C97" s="446" t="s">
        <v>1278</v>
      </c>
      <c r="D97" s="427" t="s">
        <v>1379</v>
      </c>
    </row>
    <row r="98" spans="1:4" ht="25.5" x14ac:dyDescent="0.2">
      <c r="A98" s="430"/>
      <c r="B98" s="427" t="s">
        <v>108</v>
      </c>
      <c r="C98" s="427" t="s">
        <v>1380</v>
      </c>
      <c r="D98" s="427" t="s">
        <v>1381</v>
      </c>
    </row>
    <row r="99" spans="1:4" x14ac:dyDescent="0.2">
      <c r="A99" s="430"/>
      <c r="B99" s="444" t="s">
        <v>1259</v>
      </c>
      <c r="C99" s="452" t="s">
        <v>1382</v>
      </c>
      <c r="D99" s="452" t="s">
        <v>1383</v>
      </c>
    </row>
    <row r="100" spans="1:4" x14ac:dyDescent="0.2">
      <c r="A100" s="430"/>
      <c r="B100" s="427" t="s">
        <v>1359</v>
      </c>
      <c r="C100" s="427" t="s">
        <v>1385</v>
      </c>
      <c r="D100" s="427" t="s">
        <v>1386</v>
      </c>
    </row>
    <row r="101" spans="1:4" ht="25.5" x14ac:dyDescent="0.2">
      <c r="A101" s="430"/>
      <c r="B101" s="427" t="s">
        <v>105</v>
      </c>
      <c r="C101" s="427" t="s">
        <v>1387</v>
      </c>
      <c r="D101" s="427" t="s">
        <v>1388</v>
      </c>
    </row>
    <row r="102" spans="1:4" x14ac:dyDescent="0.2">
      <c r="A102" s="430"/>
      <c r="B102" s="427" t="s">
        <v>545</v>
      </c>
      <c r="C102" s="427" t="s">
        <v>1390</v>
      </c>
      <c r="D102" s="427" t="s">
        <v>1391</v>
      </c>
    </row>
    <row r="103" spans="1:4" ht="25.5" x14ac:dyDescent="0.2">
      <c r="A103" s="430"/>
      <c r="B103" s="427" t="s">
        <v>496</v>
      </c>
      <c r="C103" s="427" t="s">
        <v>1392</v>
      </c>
      <c r="D103" s="427" t="s">
        <v>1393</v>
      </c>
    </row>
    <row r="104" spans="1:4" ht="25.5" x14ac:dyDescent="0.2">
      <c r="A104" s="430"/>
      <c r="B104" s="427" t="s">
        <v>545</v>
      </c>
      <c r="C104" s="427" t="s">
        <v>1394</v>
      </c>
      <c r="D104" s="427" t="s">
        <v>1395</v>
      </c>
    </row>
    <row r="105" spans="1:4" ht="28.15" customHeight="1" x14ac:dyDescent="0.2">
      <c r="A105" s="430"/>
      <c r="B105" s="427" t="s">
        <v>105</v>
      </c>
      <c r="C105" s="427" t="s">
        <v>1396</v>
      </c>
      <c r="D105" s="427" t="s">
        <v>1397</v>
      </c>
    </row>
    <row r="106" spans="1:4" ht="25.5" x14ac:dyDescent="0.2">
      <c r="A106" s="430"/>
      <c r="B106" s="427" t="s">
        <v>105</v>
      </c>
      <c r="C106" s="427" t="s">
        <v>1398</v>
      </c>
      <c r="D106" s="427" t="s">
        <v>1399</v>
      </c>
    </row>
    <row r="107" spans="1:4" ht="39.6" customHeight="1" x14ac:dyDescent="0.2">
      <c r="A107" s="434">
        <v>44361</v>
      </c>
      <c r="B107" s="427" t="s">
        <v>1259</v>
      </c>
      <c r="C107" s="427" t="s">
        <v>1400</v>
      </c>
      <c r="D107" s="427" t="s">
        <v>1401</v>
      </c>
    </row>
    <row r="108" spans="1:4" ht="12" customHeight="1" x14ac:dyDescent="0.2">
      <c r="A108" s="434"/>
      <c r="B108" s="427" t="s">
        <v>545</v>
      </c>
      <c r="C108" s="427" t="s">
        <v>1402</v>
      </c>
      <c r="D108" s="427" t="s">
        <v>1403</v>
      </c>
    </row>
    <row r="109" spans="1:4" x14ac:dyDescent="0.2">
      <c r="A109" s="434"/>
      <c r="B109" s="427" t="s">
        <v>1404</v>
      </c>
      <c r="C109" s="427" t="s">
        <v>1405</v>
      </c>
      <c r="D109" s="427" t="s">
        <v>1406</v>
      </c>
    </row>
    <row r="110" spans="1:4" ht="40.15" customHeight="1" x14ac:dyDescent="0.2">
      <c r="A110" s="434">
        <v>44372</v>
      </c>
      <c r="B110" s="427" t="s">
        <v>1359</v>
      </c>
      <c r="C110" s="427" t="s">
        <v>1407</v>
      </c>
      <c r="D110" s="427" t="s">
        <v>1401</v>
      </c>
    </row>
    <row r="111" spans="1:4" ht="38.25" x14ac:dyDescent="0.2">
      <c r="A111" s="434"/>
      <c r="B111" s="427" t="s">
        <v>106</v>
      </c>
      <c r="C111" s="427" t="s">
        <v>1408</v>
      </c>
      <c r="D111" s="427" t="s">
        <v>1409</v>
      </c>
    </row>
    <row r="112" spans="1:4" ht="13.5" thickBot="1" x14ac:dyDescent="0.25">
      <c r="A112" s="435"/>
      <c r="B112" s="448" t="s">
        <v>1404</v>
      </c>
      <c r="C112" s="448" t="s">
        <v>1410</v>
      </c>
      <c r="D112" s="448" t="s">
        <v>1406</v>
      </c>
    </row>
    <row r="113" spans="1:4" ht="25.5" x14ac:dyDescent="0.2">
      <c r="A113" s="436" t="s">
        <v>1433</v>
      </c>
      <c r="B113" s="449" t="s">
        <v>103</v>
      </c>
      <c r="C113" s="459" t="s">
        <v>1434</v>
      </c>
      <c r="D113" s="449" t="s">
        <v>1435</v>
      </c>
    </row>
    <row r="114" spans="1:4" ht="25.5" x14ac:dyDescent="0.2">
      <c r="A114" s="437"/>
      <c r="B114" s="427" t="s">
        <v>1359</v>
      </c>
      <c r="C114" s="427" t="s">
        <v>1436</v>
      </c>
      <c r="D114" s="427" t="s">
        <v>1437</v>
      </c>
    </row>
    <row r="115" spans="1:4" x14ac:dyDescent="0.2">
      <c r="A115" s="438">
        <v>44747</v>
      </c>
      <c r="B115" s="427" t="s">
        <v>1259</v>
      </c>
      <c r="C115" s="427" t="s">
        <v>1424</v>
      </c>
      <c r="D115" s="427" t="s">
        <v>1425</v>
      </c>
    </row>
    <row r="116" spans="1:4" x14ac:dyDescent="0.2">
      <c r="A116" s="430"/>
      <c r="B116" s="427" t="s">
        <v>1259</v>
      </c>
      <c r="C116" s="427" t="s">
        <v>1423</v>
      </c>
      <c r="D116" s="427" t="s">
        <v>1426</v>
      </c>
    </row>
    <row r="117" spans="1:4" x14ac:dyDescent="0.2">
      <c r="A117" s="430"/>
      <c r="B117" s="427" t="s">
        <v>1259</v>
      </c>
      <c r="C117" s="427" t="s">
        <v>1427</v>
      </c>
      <c r="D117" s="427" t="s">
        <v>1428</v>
      </c>
    </row>
    <row r="118" spans="1:4" x14ac:dyDescent="0.2">
      <c r="A118" s="430"/>
      <c r="B118" s="427" t="s">
        <v>497</v>
      </c>
      <c r="C118" s="427" t="s">
        <v>1431</v>
      </c>
      <c r="D118" s="427" t="s">
        <v>1432</v>
      </c>
    </row>
    <row r="119" spans="1:4" x14ac:dyDescent="0.2">
      <c r="A119" s="430"/>
      <c r="B119" s="427" t="s">
        <v>1359</v>
      </c>
      <c r="C119" s="427" t="s">
        <v>1458</v>
      </c>
      <c r="D119" s="427" t="s">
        <v>1459</v>
      </c>
    </row>
    <row r="120" spans="1:4" ht="25.5" x14ac:dyDescent="0.2">
      <c r="A120" s="430"/>
      <c r="B120" s="427" t="s">
        <v>108</v>
      </c>
      <c r="C120" s="427" t="s">
        <v>1299</v>
      </c>
      <c r="D120" s="427" t="s">
        <v>1460</v>
      </c>
    </row>
    <row r="121" spans="1:4" x14ac:dyDescent="0.2">
      <c r="A121" s="430"/>
      <c r="B121" s="446" t="s">
        <v>1236</v>
      </c>
      <c r="C121" s="446" t="s">
        <v>1278</v>
      </c>
      <c r="D121" s="427" t="s">
        <v>1460</v>
      </c>
    </row>
    <row r="122" spans="1:4" ht="13.5" thickBot="1" x14ac:dyDescent="0.25">
      <c r="A122" s="439"/>
      <c r="B122" s="448" t="s">
        <v>539</v>
      </c>
      <c r="C122" s="448" t="s">
        <v>1461</v>
      </c>
      <c r="D122" s="448" t="s">
        <v>1462</v>
      </c>
    </row>
    <row r="123" spans="1:4" ht="25.5" x14ac:dyDescent="0.2">
      <c r="A123" s="463">
        <v>45098</v>
      </c>
      <c r="B123" s="464" t="s">
        <v>108</v>
      </c>
      <c r="C123" s="464" t="s">
        <v>1463</v>
      </c>
      <c r="D123" s="465" t="s">
        <v>1472</v>
      </c>
    </row>
    <row r="124" spans="1:4" ht="25.5" x14ac:dyDescent="0.2">
      <c r="A124" s="466"/>
      <c r="B124" s="456" t="s">
        <v>108</v>
      </c>
      <c r="C124" s="456" t="s">
        <v>1466</v>
      </c>
      <c r="D124" s="467" t="s">
        <v>1465</v>
      </c>
    </row>
    <row r="125" spans="1:4" x14ac:dyDescent="0.2">
      <c r="A125" s="466"/>
      <c r="B125" s="456" t="s">
        <v>545</v>
      </c>
      <c r="C125" s="468" t="s">
        <v>1473</v>
      </c>
      <c r="D125" s="469" t="s">
        <v>1474</v>
      </c>
    </row>
    <row r="126" spans="1:4" ht="25.5" x14ac:dyDescent="0.2">
      <c r="A126" s="466"/>
      <c r="B126" s="456" t="s">
        <v>108</v>
      </c>
      <c r="C126" s="468" t="s">
        <v>1476</v>
      </c>
      <c r="D126" s="469" t="s">
        <v>1475</v>
      </c>
    </row>
    <row r="127" spans="1:4" x14ac:dyDescent="0.2">
      <c r="A127" s="466"/>
      <c r="B127" s="456" t="s">
        <v>1236</v>
      </c>
      <c r="C127" s="468" t="s">
        <v>1477</v>
      </c>
      <c r="D127" s="467" t="s">
        <v>1479</v>
      </c>
    </row>
    <row r="128" spans="1:4" x14ac:dyDescent="0.2">
      <c r="A128" s="466"/>
      <c r="B128" s="456" t="s">
        <v>1359</v>
      </c>
      <c r="C128" s="468" t="s">
        <v>1480</v>
      </c>
      <c r="D128" s="482" t="s">
        <v>1482</v>
      </c>
    </row>
    <row r="129" spans="1:4" x14ac:dyDescent="0.2">
      <c r="A129" s="466"/>
      <c r="B129" s="456" t="s">
        <v>1359</v>
      </c>
      <c r="C129" s="468" t="s">
        <v>1478</v>
      </c>
      <c r="D129" s="482" t="s">
        <v>1483</v>
      </c>
    </row>
    <row r="130" spans="1:4" x14ac:dyDescent="0.2">
      <c r="A130" s="466"/>
      <c r="B130" s="456" t="s">
        <v>1404</v>
      </c>
      <c r="C130" s="468" t="s">
        <v>1468</v>
      </c>
      <c r="D130" s="467" t="s">
        <v>1469</v>
      </c>
    </row>
    <row r="131" spans="1:4" ht="13.5" thickBot="1" x14ac:dyDescent="0.25">
      <c r="A131" s="470"/>
      <c r="B131" s="471" t="s">
        <v>1259</v>
      </c>
      <c r="C131" s="471" t="s">
        <v>1471</v>
      </c>
      <c r="D131" s="472" t="s">
        <v>1470</v>
      </c>
    </row>
    <row r="132" spans="1:4" x14ac:dyDescent="0.2">
      <c r="A132" s="463">
        <v>45456</v>
      </c>
      <c r="B132" s="464" t="s">
        <v>1259</v>
      </c>
      <c r="C132" s="484" t="s">
        <v>1468</v>
      </c>
      <c r="D132" s="465" t="s">
        <v>1485</v>
      </c>
    </row>
    <row r="133" spans="1:4" x14ac:dyDescent="0.2">
      <c r="A133" s="466"/>
      <c r="B133" s="456" t="s">
        <v>545</v>
      </c>
      <c r="C133" s="468" t="s">
        <v>1473</v>
      </c>
      <c r="D133" s="469" t="s">
        <v>1474</v>
      </c>
    </row>
    <row r="134" spans="1:4" ht="25.5" x14ac:dyDescent="0.2">
      <c r="A134" s="485"/>
      <c r="B134" s="456" t="s">
        <v>108</v>
      </c>
      <c r="C134" s="468" t="s">
        <v>1476</v>
      </c>
      <c r="D134" s="469" t="s">
        <v>1475</v>
      </c>
    </row>
    <row r="135" spans="1:4" ht="63.75" x14ac:dyDescent="0.2">
      <c r="A135" s="486" t="s">
        <v>1493</v>
      </c>
      <c r="B135" s="456" t="s">
        <v>1359</v>
      </c>
      <c r="C135" s="468" t="s">
        <v>1487</v>
      </c>
      <c r="D135" s="482" t="s">
        <v>1488</v>
      </c>
    </row>
    <row r="136" spans="1:4" x14ac:dyDescent="0.2">
      <c r="A136" s="466"/>
      <c r="B136" s="456" t="s">
        <v>1359</v>
      </c>
      <c r="C136" s="468" t="s">
        <v>1478</v>
      </c>
      <c r="D136" s="482" t="s">
        <v>1486</v>
      </c>
    </row>
    <row r="137" spans="1:4" x14ac:dyDescent="0.2">
      <c r="A137" s="466"/>
      <c r="B137" s="456" t="s">
        <v>1236</v>
      </c>
      <c r="C137" s="468" t="s">
        <v>1477</v>
      </c>
      <c r="D137" s="467" t="s">
        <v>1479</v>
      </c>
    </row>
    <row r="138" spans="1:4" ht="25.5" x14ac:dyDescent="0.2">
      <c r="A138" s="466"/>
      <c r="B138" s="456" t="s">
        <v>539</v>
      </c>
      <c r="C138" s="468" t="s">
        <v>1492</v>
      </c>
      <c r="D138" s="467" t="s">
        <v>1491</v>
      </c>
    </row>
    <row r="139" spans="1:4" ht="13.5" thickBot="1" x14ac:dyDescent="0.25">
      <c r="A139" s="487" t="s">
        <v>1490</v>
      </c>
      <c r="B139" s="471"/>
      <c r="C139" s="483"/>
      <c r="D139" s="472"/>
    </row>
    <row r="140" spans="1:4" ht="38.25" x14ac:dyDescent="0.2">
      <c r="A140" s="463">
        <v>45807</v>
      </c>
      <c r="B140" s="464" t="s">
        <v>545</v>
      </c>
      <c r="C140" s="484" t="s">
        <v>1596</v>
      </c>
      <c r="D140" s="465" t="s">
        <v>1597</v>
      </c>
    </row>
    <row r="141" spans="1:4" ht="25.5" x14ac:dyDescent="0.2">
      <c r="A141" s="466"/>
      <c r="B141" s="456" t="s">
        <v>103</v>
      </c>
      <c r="C141" s="468" t="s">
        <v>1599</v>
      </c>
      <c r="D141" s="467" t="s">
        <v>1600</v>
      </c>
    </row>
    <row r="142" spans="1:4" ht="38.25" x14ac:dyDescent="0.2">
      <c r="A142" s="466"/>
      <c r="B142" s="456" t="s">
        <v>556</v>
      </c>
      <c r="C142" s="468" t="s">
        <v>1608</v>
      </c>
      <c r="D142" s="469" t="s">
        <v>1598</v>
      </c>
    </row>
    <row r="143" spans="1:4" ht="38.25" x14ac:dyDescent="0.2">
      <c r="A143" s="485"/>
      <c r="B143" s="456" t="s">
        <v>106</v>
      </c>
      <c r="C143" s="468" t="s">
        <v>1601</v>
      </c>
      <c r="D143" s="467" t="s">
        <v>1602</v>
      </c>
    </row>
    <row r="144" spans="1:4" ht="51" x14ac:dyDescent="0.2">
      <c r="A144" s="486"/>
      <c r="B144" s="456" t="s">
        <v>106</v>
      </c>
      <c r="C144" s="468" t="s">
        <v>1603</v>
      </c>
      <c r="D144" s="482" t="s">
        <v>1604</v>
      </c>
    </row>
    <row r="145" spans="1:4" ht="25.5" x14ac:dyDescent="0.2">
      <c r="A145" s="466"/>
      <c r="B145" s="456" t="s">
        <v>106</v>
      </c>
      <c r="C145" s="468" t="s">
        <v>1605</v>
      </c>
      <c r="D145" s="482" t="s">
        <v>1606</v>
      </c>
    </row>
    <row r="146" spans="1:4" ht="25.5" x14ac:dyDescent="0.2">
      <c r="A146" s="466"/>
      <c r="B146" s="456" t="s">
        <v>106</v>
      </c>
      <c r="C146" s="468" t="s">
        <v>1609</v>
      </c>
      <c r="D146" s="482" t="s">
        <v>1610</v>
      </c>
    </row>
    <row r="147" spans="1:4" x14ac:dyDescent="0.2">
      <c r="A147" s="466"/>
      <c r="B147" s="456" t="s">
        <v>106</v>
      </c>
      <c r="C147" s="468" t="s">
        <v>1611</v>
      </c>
      <c r="D147" s="482" t="s">
        <v>1612</v>
      </c>
    </row>
    <row r="148" spans="1:4" x14ac:dyDescent="0.2">
      <c r="A148" s="466"/>
      <c r="B148" s="456" t="s">
        <v>106</v>
      </c>
      <c r="C148" s="468" t="s">
        <v>1614</v>
      </c>
      <c r="D148" s="482" t="s">
        <v>1615</v>
      </c>
    </row>
    <row r="149" spans="1:4" ht="31.5" customHeight="1" x14ac:dyDescent="0.2">
      <c r="A149" s="466"/>
      <c r="B149" s="456" t="s">
        <v>497</v>
      </c>
      <c r="C149" s="468" t="s">
        <v>1607</v>
      </c>
      <c r="D149" s="467" t="s">
        <v>1613</v>
      </c>
    </row>
    <row r="150" spans="1:4" ht="31.5" customHeight="1" x14ac:dyDescent="0.2">
      <c r="A150" s="466"/>
      <c r="B150" s="456" t="s">
        <v>497</v>
      </c>
      <c r="C150" s="468" t="s">
        <v>1616</v>
      </c>
      <c r="D150" s="467" t="s">
        <v>1617</v>
      </c>
    </row>
    <row r="151" spans="1:4" ht="31.5" customHeight="1" x14ac:dyDescent="0.2">
      <c r="A151" s="466"/>
      <c r="B151" s="456" t="s">
        <v>497</v>
      </c>
      <c r="C151" s="468" t="s">
        <v>1618</v>
      </c>
      <c r="D151" s="467" t="s">
        <v>1619</v>
      </c>
    </row>
    <row r="152" spans="1:4" ht="31.5" customHeight="1" x14ac:dyDescent="0.2">
      <c r="A152" s="466"/>
      <c r="B152" s="456" t="s">
        <v>497</v>
      </c>
      <c r="C152" s="468" t="s">
        <v>1620</v>
      </c>
      <c r="D152" s="467" t="s">
        <v>1621</v>
      </c>
    </row>
    <row r="153" spans="1:4" ht="31.5" customHeight="1" x14ac:dyDescent="0.2">
      <c r="A153" s="466"/>
      <c r="B153" s="456" t="s">
        <v>497</v>
      </c>
      <c r="C153" s="468" t="s">
        <v>1622</v>
      </c>
      <c r="D153" s="467" t="s">
        <v>1623</v>
      </c>
    </row>
    <row r="154" spans="1:4" x14ac:dyDescent="0.2">
      <c r="A154" s="466"/>
      <c r="B154" s="456" t="s">
        <v>497</v>
      </c>
      <c r="C154" s="468" t="s">
        <v>1624</v>
      </c>
      <c r="D154" s="467" t="s">
        <v>1625</v>
      </c>
    </row>
    <row r="155" spans="1:4" x14ac:dyDescent="0.2">
      <c r="A155" s="466"/>
      <c r="B155" s="456" t="s">
        <v>497</v>
      </c>
      <c r="C155" s="468" t="s">
        <v>1626</v>
      </c>
      <c r="D155" s="467" t="s">
        <v>1627</v>
      </c>
    </row>
    <row r="156" spans="1:4" x14ac:dyDescent="0.2">
      <c r="A156" s="466"/>
      <c r="B156" s="456" t="s">
        <v>497</v>
      </c>
      <c r="C156" s="468" t="s">
        <v>1628</v>
      </c>
      <c r="D156" s="467" t="s">
        <v>1629</v>
      </c>
    </row>
    <row r="157" spans="1:4" x14ac:dyDescent="0.2">
      <c r="A157" s="466"/>
      <c r="B157" s="456" t="s">
        <v>497</v>
      </c>
      <c r="C157" s="468" t="s">
        <v>1630</v>
      </c>
      <c r="D157" s="467" t="s">
        <v>1631</v>
      </c>
    </row>
    <row r="158" spans="1:4" ht="25.5" x14ac:dyDescent="0.2">
      <c r="A158" s="466"/>
      <c r="B158" s="456" t="s">
        <v>497</v>
      </c>
      <c r="C158" s="468" t="s">
        <v>1632</v>
      </c>
      <c r="D158" s="467" t="s">
        <v>1633</v>
      </c>
    </row>
    <row r="159" spans="1:4" ht="25.5" x14ac:dyDescent="0.2">
      <c r="A159" s="466"/>
      <c r="B159" s="456" t="s">
        <v>496</v>
      </c>
      <c r="C159" s="468" t="s">
        <v>1634</v>
      </c>
      <c r="D159" s="467" t="s">
        <v>1635</v>
      </c>
    </row>
    <row r="160" spans="1:4" ht="38.25" x14ac:dyDescent="0.2">
      <c r="A160" s="466"/>
      <c r="B160" s="456" t="s">
        <v>496</v>
      </c>
      <c r="C160" s="468" t="s">
        <v>1636</v>
      </c>
      <c r="D160" s="467" t="s">
        <v>1637</v>
      </c>
    </row>
    <row r="161" spans="1:4" ht="38.25" x14ac:dyDescent="0.2">
      <c r="A161" s="466"/>
      <c r="B161" s="456" t="s">
        <v>108</v>
      </c>
      <c r="C161" s="468" t="s">
        <v>1638</v>
      </c>
      <c r="D161" s="467" t="s">
        <v>1639</v>
      </c>
    </row>
    <row r="162" spans="1:4" ht="25.5" x14ac:dyDescent="0.2">
      <c r="A162" s="466"/>
      <c r="B162" s="456" t="s">
        <v>108</v>
      </c>
      <c r="C162" s="468" t="s">
        <v>1640</v>
      </c>
      <c r="D162" s="467" t="s">
        <v>1641</v>
      </c>
    </row>
    <row r="163" spans="1:4" ht="25.5" x14ac:dyDescent="0.2">
      <c r="A163" s="466"/>
      <c r="B163" s="456" t="s">
        <v>108</v>
      </c>
      <c r="C163" s="468" t="s">
        <v>1642</v>
      </c>
      <c r="D163" s="467" t="s">
        <v>1643</v>
      </c>
    </row>
    <row r="164" spans="1:4" ht="25.5" x14ac:dyDescent="0.2">
      <c r="A164" s="466"/>
      <c r="B164" s="456" t="s">
        <v>108</v>
      </c>
      <c r="C164" s="468" t="s">
        <v>1644</v>
      </c>
      <c r="D164" s="469" t="s">
        <v>1475</v>
      </c>
    </row>
    <row r="165" spans="1:4" ht="63.75" x14ac:dyDescent="0.2">
      <c r="A165" s="466"/>
      <c r="B165" s="456" t="s">
        <v>108</v>
      </c>
      <c r="C165" s="468" t="s">
        <v>1655</v>
      </c>
      <c r="D165" s="467" t="s">
        <v>1656</v>
      </c>
    </row>
    <row r="166" spans="1:4" ht="25.5" x14ac:dyDescent="0.2">
      <c r="A166" s="466"/>
      <c r="B166" s="456" t="s">
        <v>108</v>
      </c>
      <c r="C166" s="468" t="s">
        <v>1658</v>
      </c>
      <c r="D166" s="467" t="s">
        <v>1657</v>
      </c>
    </row>
    <row r="167" spans="1:4" ht="25.5" x14ac:dyDescent="0.2">
      <c r="A167" s="466"/>
      <c r="B167" s="456" t="s">
        <v>1259</v>
      </c>
      <c r="C167" s="468" t="s">
        <v>1645</v>
      </c>
      <c r="D167" s="467" t="s">
        <v>1646</v>
      </c>
    </row>
    <row r="168" spans="1:4" x14ac:dyDescent="0.2">
      <c r="A168" s="466"/>
      <c r="B168" s="456" t="s">
        <v>1259</v>
      </c>
      <c r="C168" s="468" t="s">
        <v>1647</v>
      </c>
      <c r="D168" s="467" t="s">
        <v>1648</v>
      </c>
    </row>
    <row r="169" spans="1:4" x14ac:dyDescent="0.2">
      <c r="A169" s="466"/>
      <c r="B169" s="456" t="s">
        <v>1649</v>
      </c>
      <c r="C169" s="468" t="s">
        <v>1650</v>
      </c>
      <c r="D169" s="467" t="s">
        <v>1651</v>
      </c>
    </row>
    <row r="170" spans="1:4" x14ac:dyDescent="0.2">
      <c r="A170" s="466"/>
      <c r="B170" s="456" t="s">
        <v>1359</v>
      </c>
      <c r="C170" s="468" t="s">
        <v>1652</v>
      </c>
      <c r="D170" s="467" t="s">
        <v>1651</v>
      </c>
    </row>
    <row r="171" spans="1:4" ht="39" thickBot="1" x14ac:dyDescent="0.25">
      <c r="A171" s="466"/>
      <c r="B171" s="456" t="s">
        <v>1236</v>
      </c>
      <c r="C171" s="468" t="s">
        <v>1653</v>
      </c>
      <c r="D171" s="467" t="s">
        <v>1654</v>
      </c>
    </row>
    <row r="172" spans="1:4" x14ac:dyDescent="0.2">
      <c r="A172" s="463">
        <v>45831</v>
      </c>
      <c r="B172" s="464" t="s">
        <v>545</v>
      </c>
      <c r="C172" s="484" t="s">
        <v>1659</v>
      </c>
      <c r="D172" s="465" t="s">
        <v>1660</v>
      </c>
    </row>
    <row r="173" spans="1:4" x14ac:dyDescent="0.2">
      <c r="A173" s="466"/>
      <c r="B173" s="456" t="s">
        <v>1259</v>
      </c>
      <c r="C173" s="468" t="s">
        <v>1661</v>
      </c>
      <c r="D173" s="467" t="s">
        <v>1662</v>
      </c>
    </row>
    <row r="174" spans="1:4" ht="13.5" thickBot="1" x14ac:dyDescent="0.25">
      <c r="A174" s="487"/>
      <c r="B174" s="471" t="s">
        <v>1259</v>
      </c>
      <c r="C174" s="483" t="s">
        <v>1663</v>
      </c>
      <c r="D174" s="472" t="s">
        <v>1664</v>
      </c>
    </row>
    <row r="175" spans="1:4" x14ac:dyDescent="0.2">
      <c r="A175" s="463">
        <v>45838</v>
      </c>
      <c r="B175" s="464" t="s">
        <v>545</v>
      </c>
      <c r="C175" s="484" t="s">
        <v>1659</v>
      </c>
      <c r="D175" s="465" t="s">
        <v>1660</v>
      </c>
    </row>
    <row r="176" spans="1:4" ht="18" customHeight="1" thickBot="1" x14ac:dyDescent="0.25">
      <c r="A176" s="487"/>
      <c r="B176" s="471" t="s">
        <v>108</v>
      </c>
      <c r="C176" s="483" t="s">
        <v>1665</v>
      </c>
      <c r="D176" s="472" t="s">
        <v>1666</v>
      </c>
    </row>
    <row r="177" spans="1:4" x14ac:dyDescent="0.2">
      <c r="A177" s="463">
        <v>46023</v>
      </c>
      <c r="B177" s="464" t="s">
        <v>545</v>
      </c>
      <c r="C177" s="484" t="s">
        <v>1659</v>
      </c>
      <c r="D177" s="465" t="s">
        <v>1660</v>
      </c>
    </row>
    <row r="178" spans="1:4" ht="25.5" x14ac:dyDescent="0.2">
      <c r="A178" s="466"/>
      <c r="B178" s="456" t="s">
        <v>545</v>
      </c>
      <c r="C178" s="468" t="s">
        <v>1669</v>
      </c>
      <c r="D178" s="467" t="s">
        <v>1670</v>
      </c>
    </row>
    <row r="179" spans="1:4" ht="38.25" x14ac:dyDescent="0.2">
      <c r="A179" s="466"/>
      <c r="B179" s="456" t="s">
        <v>105</v>
      </c>
      <c r="C179" s="468" t="s">
        <v>1667</v>
      </c>
      <c r="D179" s="467" t="s">
        <v>1668</v>
      </c>
    </row>
    <row r="180" spans="1:4" ht="25.5" x14ac:dyDescent="0.2">
      <c r="A180" s="466"/>
      <c r="B180" s="456" t="s">
        <v>105</v>
      </c>
      <c r="C180" s="468" t="s">
        <v>1673</v>
      </c>
      <c r="D180" s="467" t="s">
        <v>1674</v>
      </c>
    </row>
    <row r="181" spans="1:4" ht="25.5" x14ac:dyDescent="0.2">
      <c r="A181" s="466"/>
      <c r="B181" s="456" t="s">
        <v>106</v>
      </c>
      <c r="C181" s="468" t="s">
        <v>1671</v>
      </c>
      <c r="D181" s="467" t="s">
        <v>1672</v>
      </c>
    </row>
    <row r="182" spans="1:4" x14ac:dyDescent="0.2">
      <c r="A182" s="466"/>
      <c r="B182" s="456" t="s">
        <v>106</v>
      </c>
      <c r="C182" s="468" t="s">
        <v>1675</v>
      </c>
      <c r="D182" s="467" t="s">
        <v>1676</v>
      </c>
    </row>
    <row r="183" spans="1:4" ht="25.5" x14ac:dyDescent="0.2">
      <c r="A183" s="466"/>
      <c r="B183" s="456" t="s">
        <v>106</v>
      </c>
      <c r="C183" s="468" t="s">
        <v>1677</v>
      </c>
      <c r="D183" s="467" t="s">
        <v>1678</v>
      </c>
    </row>
    <row r="184" spans="1:4" ht="25.5" x14ac:dyDescent="0.2">
      <c r="A184" s="466"/>
      <c r="B184" s="456" t="s">
        <v>497</v>
      </c>
      <c r="C184" s="468" t="s">
        <v>1679</v>
      </c>
      <c r="D184" s="467" t="s">
        <v>1680</v>
      </c>
    </row>
    <row r="185" spans="1:4" ht="13.5" thickBot="1" x14ac:dyDescent="0.25">
      <c r="A185" s="487"/>
      <c r="B185" s="692"/>
      <c r="C185" s="692"/>
      <c r="D185" s="693"/>
    </row>
    <row r="186" spans="1:4" s="387" customFormat="1" ht="26.25" thickBot="1" x14ac:dyDescent="0.25">
      <c r="A186" s="695">
        <v>46132</v>
      </c>
      <c r="B186" s="696" t="s">
        <v>105</v>
      </c>
      <c r="C186" s="696" t="s">
        <v>1682</v>
      </c>
      <c r="D186" s="694" t="s">
        <v>1683</v>
      </c>
    </row>
    <row r="187" spans="1:4" x14ac:dyDescent="0.2">
      <c r="A187" s="440"/>
    </row>
    <row r="188" spans="1:4" x14ac:dyDescent="0.2">
      <c r="A188" s="462" t="s">
        <v>1481</v>
      </c>
    </row>
    <row r="189" spans="1:4" x14ac:dyDescent="0.2">
      <c r="A189" s="440"/>
    </row>
    <row r="190" spans="1:4" x14ac:dyDescent="0.2">
      <c r="A190" s="440"/>
    </row>
    <row r="191" spans="1:4" x14ac:dyDescent="0.2">
      <c r="A191" s="440"/>
    </row>
    <row r="192" spans="1:4" x14ac:dyDescent="0.2">
      <c r="A192" s="440"/>
    </row>
    <row r="193" spans="1:1" x14ac:dyDescent="0.2">
      <c r="A193" s="440"/>
    </row>
    <row r="194" spans="1:1" x14ac:dyDescent="0.2">
      <c r="A194" s="440"/>
    </row>
    <row r="195" spans="1:1" x14ac:dyDescent="0.2">
      <c r="A195" s="440"/>
    </row>
    <row r="196" spans="1:1" x14ac:dyDescent="0.2">
      <c r="A196" s="440"/>
    </row>
    <row r="197" spans="1:1" x14ac:dyDescent="0.2">
      <c r="A197" s="440"/>
    </row>
    <row r="198" spans="1:1" x14ac:dyDescent="0.2">
      <c r="A198" s="440"/>
    </row>
    <row r="199" spans="1:1" x14ac:dyDescent="0.2">
      <c r="A199" s="440"/>
    </row>
    <row r="200" spans="1:1" x14ac:dyDescent="0.2">
      <c r="A200" s="440"/>
    </row>
    <row r="201" spans="1:1" x14ac:dyDescent="0.2">
      <c r="A201" s="440"/>
    </row>
    <row r="202" spans="1:1" x14ac:dyDescent="0.2">
      <c r="A202" s="440"/>
    </row>
    <row r="203" spans="1:1" x14ac:dyDescent="0.2">
      <c r="A203" s="440"/>
    </row>
    <row r="204" spans="1:1" x14ac:dyDescent="0.2">
      <c r="A204" s="440"/>
    </row>
    <row r="205" spans="1:1" x14ac:dyDescent="0.2">
      <c r="A205" s="440"/>
    </row>
    <row r="206" spans="1:1" x14ac:dyDescent="0.2">
      <c r="A206" s="440"/>
    </row>
    <row r="207" spans="1:1" x14ac:dyDescent="0.2">
      <c r="A207" s="440"/>
    </row>
    <row r="208" spans="1:1" x14ac:dyDescent="0.2">
      <c r="A208" s="440"/>
    </row>
    <row r="209" spans="1:1" x14ac:dyDescent="0.2">
      <c r="A209" s="440"/>
    </row>
    <row r="210" spans="1:1" x14ac:dyDescent="0.2">
      <c r="A210" s="440"/>
    </row>
    <row r="211" spans="1:1" x14ac:dyDescent="0.2">
      <c r="A211" s="440"/>
    </row>
    <row r="212" spans="1:1" x14ac:dyDescent="0.2">
      <c r="A212" s="440"/>
    </row>
    <row r="213" spans="1:1" x14ac:dyDescent="0.2">
      <c r="A213" s="440"/>
    </row>
    <row r="214" spans="1:1" x14ac:dyDescent="0.2">
      <c r="A214" s="440"/>
    </row>
    <row r="215" spans="1:1" x14ac:dyDescent="0.2">
      <c r="A215" s="440"/>
    </row>
    <row r="216" spans="1:1" x14ac:dyDescent="0.2">
      <c r="A216" s="440"/>
    </row>
    <row r="217" spans="1:1" x14ac:dyDescent="0.2">
      <c r="A217" s="440"/>
    </row>
    <row r="218" spans="1:1" x14ac:dyDescent="0.2">
      <c r="A218" s="440"/>
    </row>
    <row r="219" spans="1:1" x14ac:dyDescent="0.2">
      <c r="A219" s="440"/>
    </row>
    <row r="220" spans="1:1" x14ac:dyDescent="0.2">
      <c r="A220" s="440"/>
    </row>
    <row r="221" spans="1:1" x14ac:dyDescent="0.2">
      <c r="A221" s="440"/>
    </row>
    <row r="222" spans="1:1" x14ac:dyDescent="0.2">
      <c r="A222" s="440"/>
    </row>
    <row r="223" spans="1:1" x14ac:dyDescent="0.2">
      <c r="A223" s="440"/>
    </row>
    <row r="224" spans="1:1" x14ac:dyDescent="0.2">
      <c r="A224" s="440"/>
    </row>
    <row r="225" spans="1:1" x14ac:dyDescent="0.2">
      <c r="A225" s="440"/>
    </row>
    <row r="226" spans="1:1" x14ac:dyDescent="0.2">
      <c r="A226" s="440"/>
    </row>
    <row r="227" spans="1:1" x14ac:dyDescent="0.2">
      <c r="A227" s="440"/>
    </row>
    <row r="228" spans="1:1" x14ac:dyDescent="0.2">
      <c r="A228" s="440"/>
    </row>
    <row r="229" spans="1:1" x14ac:dyDescent="0.2">
      <c r="A229" s="440"/>
    </row>
    <row r="230" spans="1:1" x14ac:dyDescent="0.2">
      <c r="A230" s="440"/>
    </row>
    <row r="231" spans="1:1" x14ac:dyDescent="0.2">
      <c r="A231" s="440"/>
    </row>
    <row r="232" spans="1:1" x14ac:dyDescent="0.2">
      <c r="A232" s="440"/>
    </row>
    <row r="233" spans="1:1" x14ac:dyDescent="0.2">
      <c r="A233" s="440"/>
    </row>
    <row r="234" spans="1:1" x14ac:dyDescent="0.2">
      <c r="A234" s="440"/>
    </row>
    <row r="235" spans="1:1" x14ac:dyDescent="0.2">
      <c r="A235" s="440"/>
    </row>
    <row r="236" spans="1:1" x14ac:dyDescent="0.2">
      <c r="A236" s="440"/>
    </row>
    <row r="237" spans="1:1" x14ac:dyDescent="0.2">
      <c r="A237" s="440"/>
    </row>
    <row r="238" spans="1:1" x14ac:dyDescent="0.2">
      <c r="A238" s="440"/>
    </row>
    <row r="239" spans="1:1" x14ac:dyDescent="0.2">
      <c r="A239" s="440"/>
    </row>
    <row r="240" spans="1:1" x14ac:dyDescent="0.2">
      <c r="A240" s="440"/>
    </row>
    <row r="241" spans="1:1" x14ac:dyDescent="0.2">
      <c r="A241" s="440"/>
    </row>
    <row r="242" spans="1:1" x14ac:dyDescent="0.2">
      <c r="A242" s="440"/>
    </row>
    <row r="243" spans="1:1" x14ac:dyDescent="0.2">
      <c r="A243" s="440"/>
    </row>
    <row r="244" spans="1:1" x14ac:dyDescent="0.2">
      <c r="A244" s="440"/>
    </row>
    <row r="245" spans="1:1" x14ac:dyDescent="0.2">
      <c r="A245" s="440"/>
    </row>
    <row r="246" spans="1:1" x14ac:dyDescent="0.2">
      <c r="A246" s="440"/>
    </row>
    <row r="247" spans="1:1" x14ac:dyDescent="0.2">
      <c r="A247" s="440"/>
    </row>
    <row r="248" spans="1:1" x14ac:dyDescent="0.2">
      <c r="A248" s="440"/>
    </row>
    <row r="249" spans="1:1" x14ac:dyDescent="0.2">
      <c r="A249" s="440"/>
    </row>
    <row r="250" spans="1:1" x14ac:dyDescent="0.2">
      <c r="A250" s="440"/>
    </row>
    <row r="251" spans="1:1" x14ac:dyDescent="0.2">
      <c r="A251" s="440"/>
    </row>
    <row r="252" spans="1:1" x14ac:dyDescent="0.2">
      <c r="A252" s="440"/>
    </row>
    <row r="253" spans="1:1" x14ac:dyDescent="0.2">
      <c r="A253" s="440"/>
    </row>
    <row r="254" spans="1:1" x14ac:dyDescent="0.2">
      <c r="A254" s="440"/>
    </row>
    <row r="255" spans="1:1" x14ac:dyDescent="0.2">
      <c r="A255" s="440"/>
    </row>
    <row r="256" spans="1:1" x14ac:dyDescent="0.2">
      <c r="A256" s="440"/>
    </row>
    <row r="257" spans="1:1" x14ac:dyDescent="0.2">
      <c r="A257" s="440"/>
    </row>
    <row r="258" spans="1:1" x14ac:dyDescent="0.2">
      <c r="A258" s="440"/>
    </row>
    <row r="259" spans="1:1" x14ac:dyDescent="0.2">
      <c r="A259" s="440"/>
    </row>
    <row r="260" spans="1:1" x14ac:dyDescent="0.2">
      <c r="A260" s="440"/>
    </row>
    <row r="261" spans="1:1" x14ac:dyDescent="0.2">
      <c r="A261" s="440"/>
    </row>
    <row r="262" spans="1:1" x14ac:dyDescent="0.2">
      <c r="A262" s="440"/>
    </row>
    <row r="263" spans="1:1" x14ac:dyDescent="0.2">
      <c r="A263" s="440"/>
    </row>
    <row r="264" spans="1:1" x14ac:dyDescent="0.2">
      <c r="A264" s="440"/>
    </row>
    <row r="265" spans="1:1" x14ac:dyDescent="0.2">
      <c r="A265" s="440"/>
    </row>
    <row r="266" spans="1:1" x14ac:dyDescent="0.2">
      <c r="A266" s="440"/>
    </row>
    <row r="267" spans="1:1" x14ac:dyDescent="0.2">
      <c r="A267" s="440"/>
    </row>
    <row r="268" spans="1:1" x14ac:dyDescent="0.2">
      <c r="A268" s="440"/>
    </row>
    <row r="269" spans="1:1" x14ac:dyDescent="0.2">
      <c r="A269" s="440"/>
    </row>
    <row r="270" spans="1:1" x14ac:dyDescent="0.2">
      <c r="A270" s="440"/>
    </row>
    <row r="271" spans="1:1" x14ac:dyDescent="0.2">
      <c r="A271" s="440"/>
    </row>
    <row r="272" spans="1:1" x14ac:dyDescent="0.2">
      <c r="A272" s="440"/>
    </row>
    <row r="273" spans="1:1" x14ac:dyDescent="0.2">
      <c r="A273" s="440"/>
    </row>
    <row r="274" spans="1:1" x14ac:dyDescent="0.2">
      <c r="A274" s="440"/>
    </row>
    <row r="275" spans="1:1" x14ac:dyDescent="0.2">
      <c r="A275" s="440"/>
    </row>
    <row r="276" spans="1:1" x14ac:dyDescent="0.2">
      <c r="A276" s="440"/>
    </row>
    <row r="277" spans="1:1" x14ac:dyDescent="0.2">
      <c r="A277" s="440"/>
    </row>
    <row r="278" spans="1:1" x14ac:dyDescent="0.2">
      <c r="A278" s="440"/>
    </row>
    <row r="279" spans="1:1" x14ac:dyDescent="0.2">
      <c r="A279" s="440"/>
    </row>
    <row r="280" spans="1:1" x14ac:dyDescent="0.2">
      <c r="A280" s="440"/>
    </row>
    <row r="281" spans="1:1" x14ac:dyDescent="0.2">
      <c r="A281" s="440"/>
    </row>
    <row r="282" spans="1:1" x14ac:dyDescent="0.2">
      <c r="A282" s="440"/>
    </row>
    <row r="283" spans="1:1" x14ac:dyDescent="0.2">
      <c r="A283" s="440"/>
    </row>
    <row r="284" spans="1:1" x14ac:dyDescent="0.2">
      <c r="A284" s="440"/>
    </row>
    <row r="285" spans="1:1" x14ac:dyDescent="0.2">
      <c r="A285" s="440"/>
    </row>
    <row r="286" spans="1:1" x14ac:dyDescent="0.2">
      <c r="A286" s="440"/>
    </row>
    <row r="287" spans="1:1" x14ac:dyDescent="0.2">
      <c r="A287" s="440"/>
    </row>
    <row r="288" spans="1:1" x14ac:dyDescent="0.2">
      <c r="A288" s="440"/>
    </row>
    <row r="289" spans="1:1" x14ac:dyDescent="0.2">
      <c r="A289" s="440"/>
    </row>
    <row r="290" spans="1:1" x14ac:dyDescent="0.2">
      <c r="A290" s="440"/>
    </row>
    <row r="291" spans="1:1" x14ac:dyDescent="0.2">
      <c r="A291" s="440"/>
    </row>
    <row r="292" spans="1:1" x14ac:dyDescent="0.2">
      <c r="A292" s="440"/>
    </row>
    <row r="293" spans="1:1" x14ac:dyDescent="0.2">
      <c r="A293" s="440"/>
    </row>
    <row r="294" spans="1:1" x14ac:dyDescent="0.2">
      <c r="A294" s="440"/>
    </row>
    <row r="295" spans="1:1" x14ac:dyDescent="0.2">
      <c r="A295" s="440"/>
    </row>
    <row r="296" spans="1:1" x14ac:dyDescent="0.2">
      <c r="A296" s="440"/>
    </row>
    <row r="297" spans="1:1" x14ac:dyDescent="0.2">
      <c r="A297" s="440"/>
    </row>
    <row r="298" spans="1:1" x14ac:dyDescent="0.2">
      <c r="A298" s="440"/>
    </row>
    <row r="299" spans="1:1" x14ac:dyDescent="0.2">
      <c r="A299" s="440"/>
    </row>
    <row r="300" spans="1:1" x14ac:dyDescent="0.2">
      <c r="A300" s="440"/>
    </row>
    <row r="301" spans="1:1" x14ac:dyDescent="0.2">
      <c r="A301" s="440"/>
    </row>
    <row r="302" spans="1:1" x14ac:dyDescent="0.2">
      <c r="A302" s="440"/>
    </row>
    <row r="303" spans="1:1" x14ac:dyDescent="0.2">
      <c r="A303" s="440"/>
    </row>
    <row r="304" spans="1:1" x14ac:dyDescent="0.2">
      <c r="A304" s="440"/>
    </row>
    <row r="305" spans="1:1" x14ac:dyDescent="0.2">
      <c r="A305" s="440"/>
    </row>
    <row r="306" spans="1:1" x14ac:dyDescent="0.2">
      <c r="A306" s="440"/>
    </row>
    <row r="307" spans="1:1" x14ac:dyDescent="0.2">
      <c r="A307" s="440"/>
    </row>
    <row r="308" spans="1:1" x14ac:dyDescent="0.2">
      <c r="A308" s="440"/>
    </row>
    <row r="309" spans="1:1" x14ac:dyDescent="0.2">
      <c r="A309" s="440"/>
    </row>
    <row r="310" spans="1:1" x14ac:dyDescent="0.2">
      <c r="A310" s="440"/>
    </row>
    <row r="311" spans="1:1" x14ac:dyDescent="0.2">
      <c r="A311" s="440"/>
    </row>
    <row r="312" spans="1:1" x14ac:dyDescent="0.2">
      <c r="A312" s="440"/>
    </row>
    <row r="313" spans="1:1" x14ac:dyDescent="0.2">
      <c r="A313" s="440"/>
    </row>
    <row r="314" spans="1:1" x14ac:dyDescent="0.2">
      <c r="A314" s="440"/>
    </row>
    <row r="315" spans="1:1" x14ac:dyDescent="0.2">
      <c r="A315" s="440"/>
    </row>
    <row r="316" spans="1:1" x14ac:dyDescent="0.2">
      <c r="A316" s="440"/>
    </row>
    <row r="317" spans="1:1" x14ac:dyDescent="0.2">
      <c r="A317" s="440"/>
    </row>
    <row r="318" spans="1:1" x14ac:dyDescent="0.2">
      <c r="A318" s="440"/>
    </row>
    <row r="319" spans="1:1" x14ac:dyDescent="0.2">
      <c r="A319" s="440"/>
    </row>
    <row r="320" spans="1:1" x14ac:dyDescent="0.2">
      <c r="A320" s="440"/>
    </row>
    <row r="321" spans="1:1" x14ac:dyDescent="0.2">
      <c r="A321" s="440"/>
    </row>
    <row r="322" spans="1:1" x14ac:dyDescent="0.2">
      <c r="A322" s="440"/>
    </row>
    <row r="323" spans="1:1" x14ac:dyDescent="0.2">
      <c r="A323" s="440"/>
    </row>
    <row r="324" spans="1:1" x14ac:dyDescent="0.2">
      <c r="A324" s="440"/>
    </row>
    <row r="325" spans="1:1" x14ac:dyDescent="0.2">
      <c r="A325" s="440"/>
    </row>
    <row r="326" spans="1:1" x14ac:dyDescent="0.2">
      <c r="A326" s="440"/>
    </row>
    <row r="327" spans="1:1" x14ac:dyDescent="0.2">
      <c r="A327" s="440"/>
    </row>
    <row r="328" spans="1:1" x14ac:dyDescent="0.2">
      <c r="A328" s="440"/>
    </row>
    <row r="329" spans="1:1" x14ac:dyDescent="0.2">
      <c r="A329" s="440"/>
    </row>
    <row r="330" spans="1:1" x14ac:dyDescent="0.2">
      <c r="A330" s="440"/>
    </row>
    <row r="331" spans="1:1" x14ac:dyDescent="0.2">
      <c r="A331" s="440"/>
    </row>
    <row r="332" spans="1:1" x14ac:dyDescent="0.2">
      <c r="A332" s="440"/>
    </row>
    <row r="333" spans="1:1" x14ac:dyDescent="0.2">
      <c r="A333" s="440"/>
    </row>
    <row r="334" spans="1:1" x14ac:dyDescent="0.2">
      <c r="A334" s="440"/>
    </row>
    <row r="335" spans="1:1" x14ac:dyDescent="0.2">
      <c r="A335" s="440"/>
    </row>
    <row r="336" spans="1:1" x14ac:dyDescent="0.2">
      <c r="A336" s="440"/>
    </row>
    <row r="337" spans="1:1" x14ac:dyDescent="0.2">
      <c r="A337" s="440"/>
    </row>
    <row r="338" spans="1:1" x14ac:dyDescent="0.2">
      <c r="A338" s="440"/>
    </row>
    <row r="339" spans="1:1" x14ac:dyDescent="0.2">
      <c r="A339" s="440"/>
    </row>
    <row r="340" spans="1:1" x14ac:dyDescent="0.2">
      <c r="A340" s="440"/>
    </row>
    <row r="341" spans="1:1" x14ac:dyDescent="0.2">
      <c r="A341" s="440"/>
    </row>
    <row r="342" spans="1:1" x14ac:dyDescent="0.2">
      <c r="A342" s="440"/>
    </row>
    <row r="343" spans="1:1" x14ac:dyDescent="0.2">
      <c r="A343" s="440"/>
    </row>
    <row r="344" spans="1:1" x14ac:dyDescent="0.2">
      <c r="A344" s="440"/>
    </row>
    <row r="345" spans="1:1" x14ac:dyDescent="0.2">
      <c r="A345" s="440"/>
    </row>
    <row r="346" spans="1:1" x14ac:dyDescent="0.2">
      <c r="A346" s="440"/>
    </row>
    <row r="347" spans="1:1" x14ac:dyDescent="0.2">
      <c r="A347" s="440"/>
    </row>
    <row r="348" spans="1:1" x14ac:dyDescent="0.2">
      <c r="A348" s="440"/>
    </row>
    <row r="349" spans="1:1" x14ac:dyDescent="0.2">
      <c r="A349" s="440"/>
    </row>
    <row r="350" spans="1:1" x14ac:dyDescent="0.2">
      <c r="A350" s="440"/>
    </row>
    <row r="351" spans="1:1" x14ac:dyDescent="0.2">
      <c r="A351" s="440"/>
    </row>
    <row r="352" spans="1:1" x14ac:dyDescent="0.2">
      <c r="A352" s="440"/>
    </row>
    <row r="353" spans="1:1" x14ac:dyDescent="0.2">
      <c r="A353" s="440"/>
    </row>
    <row r="354" spans="1:1" x14ac:dyDescent="0.2">
      <c r="A354" s="440"/>
    </row>
    <row r="355" spans="1:1" x14ac:dyDescent="0.2">
      <c r="A355" s="440"/>
    </row>
    <row r="356" spans="1:1" x14ac:dyDescent="0.2">
      <c r="A356" s="440"/>
    </row>
    <row r="357" spans="1:1" x14ac:dyDescent="0.2">
      <c r="A357" s="440"/>
    </row>
    <row r="358" spans="1:1" x14ac:dyDescent="0.2">
      <c r="A358" s="440"/>
    </row>
    <row r="359" spans="1:1" x14ac:dyDescent="0.2">
      <c r="A359" s="440"/>
    </row>
    <row r="360" spans="1:1" x14ac:dyDescent="0.2">
      <c r="A360" s="440"/>
    </row>
    <row r="361" spans="1:1" x14ac:dyDescent="0.2">
      <c r="A361" s="440"/>
    </row>
    <row r="362" spans="1:1" x14ac:dyDescent="0.2">
      <c r="A362" s="440"/>
    </row>
    <row r="363" spans="1:1" x14ac:dyDescent="0.2">
      <c r="A363" s="440"/>
    </row>
    <row r="364" spans="1:1" x14ac:dyDescent="0.2">
      <c r="A364" s="440"/>
    </row>
    <row r="365" spans="1:1" x14ac:dyDescent="0.2">
      <c r="A365" s="440"/>
    </row>
    <row r="366" spans="1:1" x14ac:dyDescent="0.2">
      <c r="A366" s="440"/>
    </row>
    <row r="367" spans="1:1" x14ac:dyDescent="0.2">
      <c r="A367" s="440"/>
    </row>
    <row r="368" spans="1:1" x14ac:dyDescent="0.2">
      <c r="A368" s="440"/>
    </row>
    <row r="369" spans="1:1" x14ac:dyDescent="0.2">
      <c r="A369" s="440"/>
    </row>
    <row r="370" spans="1:1" x14ac:dyDescent="0.2">
      <c r="A370" s="440"/>
    </row>
    <row r="371" spans="1:1" x14ac:dyDescent="0.2">
      <c r="A371" s="440"/>
    </row>
    <row r="372" spans="1:1" x14ac:dyDescent="0.2">
      <c r="A372" s="440"/>
    </row>
    <row r="373" spans="1:1" x14ac:dyDescent="0.2">
      <c r="A373" s="440"/>
    </row>
    <row r="374" spans="1:1" x14ac:dyDescent="0.2">
      <c r="A374" s="440"/>
    </row>
    <row r="375" spans="1:1" x14ac:dyDescent="0.2">
      <c r="A375" s="440"/>
    </row>
    <row r="376" spans="1:1" x14ac:dyDescent="0.2">
      <c r="A376" s="440"/>
    </row>
    <row r="377" spans="1:1" x14ac:dyDescent="0.2">
      <c r="A377" s="440"/>
    </row>
    <row r="378" spans="1:1" x14ac:dyDescent="0.2">
      <c r="A378" s="440"/>
    </row>
    <row r="379" spans="1:1" x14ac:dyDescent="0.2">
      <c r="A379" s="440"/>
    </row>
    <row r="380" spans="1:1" x14ac:dyDescent="0.2">
      <c r="A380" s="440"/>
    </row>
    <row r="381" spans="1:1" x14ac:dyDescent="0.2">
      <c r="A381" s="440"/>
    </row>
    <row r="382" spans="1:1" x14ac:dyDescent="0.2">
      <c r="A382" s="440"/>
    </row>
    <row r="383" spans="1:1" x14ac:dyDescent="0.2">
      <c r="A383" s="440"/>
    </row>
    <row r="384" spans="1:1" x14ac:dyDescent="0.2">
      <c r="A384" s="440"/>
    </row>
    <row r="385" spans="1:1" x14ac:dyDescent="0.2">
      <c r="A385" s="440"/>
    </row>
    <row r="386" spans="1:1" x14ac:dyDescent="0.2">
      <c r="A386" s="440"/>
    </row>
    <row r="387" spans="1:1" x14ac:dyDescent="0.2">
      <c r="A387" s="440"/>
    </row>
    <row r="388" spans="1:1" x14ac:dyDescent="0.2">
      <c r="A388" s="440"/>
    </row>
    <row r="389" spans="1:1" x14ac:dyDescent="0.2">
      <c r="A389" s="440"/>
    </row>
    <row r="390" spans="1:1" x14ac:dyDescent="0.2">
      <c r="A390" s="440"/>
    </row>
    <row r="391" spans="1:1" x14ac:dyDescent="0.2">
      <c r="A391" s="440"/>
    </row>
    <row r="392" spans="1:1" x14ac:dyDescent="0.2">
      <c r="A392" s="440"/>
    </row>
    <row r="393" spans="1:1" x14ac:dyDescent="0.2">
      <c r="A393" s="440"/>
    </row>
    <row r="394" spans="1:1" x14ac:dyDescent="0.2">
      <c r="A394" s="440"/>
    </row>
    <row r="395" spans="1:1" x14ac:dyDescent="0.2">
      <c r="A395" s="440"/>
    </row>
    <row r="396" spans="1:1" x14ac:dyDescent="0.2">
      <c r="A396" s="440"/>
    </row>
    <row r="397" spans="1:1" x14ac:dyDescent="0.2">
      <c r="A397" s="440"/>
    </row>
    <row r="398" spans="1:1" x14ac:dyDescent="0.2">
      <c r="A398" s="440"/>
    </row>
    <row r="399" spans="1:1" x14ac:dyDescent="0.2">
      <c r="A399" s="440"/>
    </row>
    <row r="400" spans="1:1" x14ac:dyDescent="0.2">
      <c r="A400" s="440"/>
    </row>
    <row r="401" spans="1:1" x14ac:dyDescent="0.2">
      <c r="A401" s="440"/>
    </row>
    <row r="402" spans="1:1" x14ac:dyDescent="0.2">
      <c r="A402" s="440"/>
    </row>
    <row r="403" spans="1:1" x14ac:dyDescent="0.2">
      <c r="A403" s="440"/>
    </row>
    <row r="404" spans="1:1" x14ac:dyDescent="0.2">
      <c r="A404" s="440"/>
    </row>
    <row r="405" spans="1:1" x14ac:dyDescent="0.2">
      <c r="A405" s="440"/>
    </row>
    <row r="406" spans="1:1" x14ac:dyDescent="0.2">
      <c r="A406" s="440"/>
    </row>
    <row r="407" spans="1:1" x14ac:dyDescent="0.2">
      <c r="A407" s="440"/>
    </row>
    <row r="408" spans="1:1" x14ac:dyDescent="0.2">
      <c r="A408" s="440"/>
    </row>
    <row r="409" spans="1:1" x14ac:dyDescent="0.2">
      <c r="A409" s="440"/>
    </row>
    <row r="410" spans="1:1" x14ac:dyDescent="0.2">
      <c r="A410" s="440"/>
    </row>
    <row r="411" spans="1:1" x14ac:dyDescent="0.2">
      <c r="A411" s="440"/>
    </row>
    <row r="412" spans="1:1" x14ac:dyDescent="0.2">
      <c r="A412" s="440"/>
    </row>
    <row r="413" spans="1:1" x14ac:dyDescent="0.2">
      <c r="A413" s="440"/>
    </row>
    <row r="414" spans="1:1" x14ac:dyDescent="0.2">
      <c r="A414" s="440"/>
    </row>
    <row r="415" spans="1:1" x14ac:dyDescent="0.2">
      <c r="A415" s="440"/>
    </row>
    <row r="416" spans="1:1" x14ac:dyDescent="0.2">
      <c r="A416" s="440"/>
    </row>
    <row r="417" spans="1:1" x14ac:dyDescent="0.2">
      <c r="A417" s="440"/>
    </row>
    <row r="418" spans="1:1" x14ac:dyDescent="0.2">
      <c r="A418" s="440"/>
    </row>
    <row r="419" spans="1:1" x14ac:dyDescent="0.2">
      <c r="A419" s="440"/>
    </row>
    <row r="420" spans="1:1" x14ac:dyDescent="0.2">
      <c r="A420" s="440"/>
    </row>
    <row r="421" spans="1:1" x14ac:dyDescent="0.2">
      <c r="A421" s="440"/>
    </row>
    <row r="422" spans="1:1" x14ac:dyDescent="0.2">
      <c r="A422" s="440"/>
    </row>
    <row r="423" spans="1:1" x14ac:dyDescent="0.2">
      <c r="A423" s="440"/>
    </row>
    <row r="424" spans="1:1" x14ac:dyDescent="0.2">
      <c r="A424" s="440"/>
    </row>
    <row r="425" spans="1:1" x14ac:dyDescent="0.2">
      <c r="A425" s="440"/>
    </row>
    <row r="426" spans="1:1" x14ac:dyDescent="0.2">
      <c r="A426" s="440"/>
    </row>
    <row r="427" spans="1:1" x14ac:dyDescent="0.2">
      <c r="A427" s="440"/>
    </row>
    <row r="428" spans="1:1" x14ac:dyDescent="0.2">
      <c r="A428" s="440"/>
    </row>
    <row r="429" spans="1:1" x14ac:dyDescent="0.2">
      <c r="A429" s="440"/>
    </row>
    <row r="430" spans="1:1" x14ac:dyDescent="0.2">
      <c r="A430" s="440"/>
    </row>
    <row r="431" spans="1:1" x14ac:dyDescent="0.2">
      <c r="A431" s="440"/>
    </row>
    <row r="432" spans="1:1" x14ac:dyDescent="0.2">
      <c r="A432" s="440"/>
    </row>
    <row r="433" spans="1:1" x14ac:dyDescent="0.2">
      <c r="A433" s="440"/>
    </row>
    <row r="434" spans="1:1" x14ac:dyDescent="0.2">
      <c r="A434" s="440"/>
    </row>
    <row r="435" spans="1:1" x14ac:dyDescent="0.2">
      <c r="A435" s="440"/>
    </row>
    <row r="436" spans="1:1" x14ac:dyDescent="0.2">
      <c r="A436" s="440"/>
    </row>
    <row r="437" spans="1:1" x14ac:dyDescent="0.2">
      <c r="A437" s="440"/>
    </row>
    <row r="438" spans="1:1" x14ac:dyDescent="0.2">
      <c r="A438" s="440"/>
    </row>
    <row r="439" spans="1:1" x14ac:dyDescent="0.2">
      <c r="A439" s="440"/>
    </row>
    <row r="440" spans="1:1" x14ac:dyDescent="0.2">
      <c r="A440" s="440"/>
    </row>
    <row r="441" spans="1:1" x14ac:dyDescent="0.2">
      <c r="A441" s="440"/>
    </row>
    <row r="442" spans="1:1" x14ac:dyDescent="0.2">
      <c r="A442" s="440"/>
    </row>
    <row r="443" spans="1:1" x14ac:dyDescent="0.2">
      <c r="A443" s="440"/>
    </row>
    <row r="444" spans="1:1" x14ac:dyDescent="0.2">
      <c r="A444" s="440"/>
    </row>
    <row r="445" spans="1:1" x14ac:dyDescent="0.2">
      <c r="A445" s="440"/>
    </row>
    <row r="446" spans="1:1" x14ac:dyDescent="0.2">
      <c r="A446" s="440"/>
    </row>
    <row r="447" spans="1:1" x14ac:dyDescent="0.2">
      <c r="A447" s="440"/>
    </row>
    <row r="448" spans="1:1" x14ac:dyDescent="0.2">
      <c r="A448" s="440"/>
    </row>
    <row r="449" spans="1:1" x14ac:dyDescent="0.2">
      <c r="A449" s="440"/>
    </row>
    <row r="450" spans="1:1" x14ac:dyDescent="0.2">
      <c r="A450" s="440"/>
    </row>
    <row r="451" spans="1:1" x14ac:dyDescent="0.2">
      <c r="A451" s="440"/>
    </row>
    <row r="452" spans="1:1" x14ac:dyDescent="0.2">
      <c r="A452" s="440"/>
    </row>
    <row r="453" spans="1:1" x14ac:dyDescent="0.2">
      <c r="A453" s="440"/>
    </row>
    <row r="454" spans="1:1" x14ac:dyDescent="0.2">
      <c r="A454" s="440"/>
    </row>
    <row r="455" spans="1:1" x14ac:dyDescent="0.2">
      <c r="A455" s="440"/>
    </row>
    <row r="456" spans="1:1" x14ac:dyDescent="0.2">
      <c r="A456" s="440"/>
    </row>
    <row r="457" spans="1:1" x14ac:dyDescent="0.2">
      <c r="A457" s="440"/>
    </row>
    <row r="458" spans="1:1" x14ac:dyDescent="0.2">
      <c r="A458" s="440"/>
    </row>
    <row r="459" spans="1:1" x14ac:dyDescent="0.2">
      <c r="A459" s="440"/>
    </row>
    <row r="460" spans="1:1" x14ac:dyDescent="0.2">
      <c r="A460" s="440"/>
    </row>
    <row r="461" spans="1:1" x14ac:dyDescent="0.2">
      <c r="A461" s="440"/>
    </row>
    <row r="462" spans="1:1" x14ac:dyDescent="0.2">
      <c r="A462" s="440"/>
    </row>
    <row r="463" spans="1:1" x14ac:dyDescent="0.2">
      <c r="A463" s="440"/>
    </row>
    <row r="464" spans="1:1" x14ac:dyDescent="0.2">
      <c r="A464" s="440"/>
    </row>
    <row r="465" spans="1:1" x14ac:dyDescent="0.2">
      <c r="A465" s="440"/>
    </row>
    <row r="466" spans="1:1" x14ac:dyDescent="0.2">
      <c r="A466" s="440"/>
    </row>
  </sheetData>
  <sheetProtection algorithmName="SHA-512" hashValue="xS7BEPLNlcbkxo09d4DGI9U+6MdygcQw5vGHouX+KUYySwkUyq6LYBaMRFkjjeDBc2NeGZViPIQW3UVY9zneCA==" saltValue="ZlJg/MOOIG0pfrczPie8Rw=="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phoneticPr fontId="83" type="noConversion"/>
  <pageMargins left="0.7" right="0.7" top="0.75" bottom="0.75" header="0.3" footer="0.3"/>
  <pageSetup scale="9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78941-F035-4C39-B0FF-BCD923402396}">
  <dimension ref="A1:B87"/>
  <sheetViews>
    <sheetView workbookViewId="0">
      <selection activeCell="B2" sqref="B2"/>
    </sheetView>
  </sheetViews>
  <sheetFormatPr defaultRowHeight="12.75" x14ac:dyDescent="0.2"/>
  <cols>
    <col min="1" max="1" width="38.42578125" bestFit="1" customWidth="1"/>
    <col min="2" max="2" width="19.42578125" customWidth="1"/>
  </cols>
  <sheetData>
    <row r="1" spans="1:2" x14ac:dyDescent="0.2">
      <c r="A1" s="690" t="s">
        <v>520</v>
      </c>
      <c r="B1" s="690"/>
    </row>
    <row r="2" spans="1:2" x14ac:dyDescent="0.2">
      <c r="A2" t="s">
        <v>521</v>
      </c>
      <c r="B2" s="689">
        <f>'Project Information'!B5</f>
        <v>0</v>
      </c>
    </row>
    <row r="3" spans="1:2" x14ac:dyDescent="0.2">
      <c r="A3" t="s">
        <v>40</v>
      </c>
      <c r="B3" t="s">
        <v>522</v>
      </c>
    </row>
    <row r="4" spans="1:2" x14ac:dyDescent="0.2">
      <c r="A4" t="s">
        <v>529</v>
      </c>
      <c r="B4" s="689">
        <f>'Project Information'!B8</f>
        <v>0</v>
      </c>
    </row>
    <row r="5" spans="1:2" x14ac:dyDescent="0.2">
      <c r="A5" t="s">
        <v>523</v>
      </c>
      <c r="B5" s="689">
        <f>'Project Information'!B9</f>
        <v>0</v>
      </c>
    </row>
    <row r="6" spans="1:2" x14ac:dyDescent="0.2">
      <c r="A6" t="s">
        <v>86</v>
      </c>
      <c r="B6" s="689" t="str">
        <f>'Project Information'!B7</f>
        <v/>
      </c>
    </row>
    <row r="7" spans="1:2" x14ac:dyDescent="0.2">
      <c r="A7" t="s">
        <v>1</v>
      </c>
      <c r="B7" s="691">
        <f>'Project Information'!F15</f>
        <v>0</v>
      </c>
    </row>
    <row r="8" spans="1:2" x14ac:dyDescent="0.2">
      <c r="A8" t="s">
        <v>1207</v>
      </c>
      <c r="B8" t="str">
        <f>IF('Development Budget Worksheet'!E10=0,"",'Development Budget Worksheet'!E10)</f>
        <v/>
      </c>
    </row>
    <row r="9" spans="1:2" x14ac:dyDescent="0.2">
      <c r="A9" t="s">
        <v>20</v>
      </c>
      <c r="B9" t="str">
        <f>IF('Development Budget Worksheet'!E11=0,"",'Development Budget Worksheet'!E11)</f>
        <v/>
      </c>
    </row>
    <row r="10" spans="1:2" x14ac:dyDescent="0.2">
      <c r="A10" t="s">
        <v>19</v>
      </c>
      <c r="B10" t="str">
        <f>IF('Development Budget Worksheet'!E12=0,"",'Development Budget Worksheet'!E12)</f>
        <v/>
      </c>
    </row>
    <row r="11" spans="1:2" x14ac:dyDescent="0.2">
      <c r="A11" t="s">
        <v>1589</v>
      </c>
      <c r="B11" t="str">
        <f>IF('Development Budget Worksheet'!E17=0,"",'Development Budget Worksheet'!E17)</f>
        <v/>
      </c>
    </row>
    <row r="12" spans="1:2" x14ac:dyDescent="0.2">
      <c r="A12" t="s">
        <v>67</v>
      </c>
      <c r="B12" t="str">
        <f>IF('Development Budget Worksheet'!E18=0,"",'Development Budget Worksheet'!E18)</f>
        <v/>
      </c>
    </row>
    <row r="13" spans="1:2" x14ac:dyDescent="0.2">
      <c r="A13" t="s">
        <v>7</v>
      </c>
      <c r="B13" t="str">
        <f>IF('Development Budget Worksheet'!E19=0,"",'Development Budget Worksheet'!E19)</f>
        <v/>
      </c>
    </row>
    <row r="14" spans="1:2" x14ac:dyDescent="0.2">
      <c r="A14" t="s">
        <v>1208</v>
      </c>
      <c r="B14" t="str">
        <f>IF('Development Budget Worksheet'!E20=0,"",'Development Budget Worksheet'!E20)</f>
        <v/>
      </c>
    </row>
    <row r="15" spans="1:2" x14ac:dyDescent="0.2">
      <c r="A15" t="s">
        <v>81</v>
      </c>
      <c r="B15" t="str">
        <f>IF('Development Budget Worksheet'!E21=0,"",'Development Budget Worksheet'!E21)</f>
        <v/>
      </c>
    </row>
    <row r="16" spans="1:2" x14ac:dyDescent="0.2">
      <c r="A16" t="s">
        <v>82</v>
      </c>
      <c r="B16" t="str">
        <f>IF('Development Budget Worksheet'!E22=0,"",'Development Budget Worksheet'!E22)</f>
        <v/>
      </c>
    </row>
    <row r="17" spans="1:2" x14ac:dyDescent="0.2">
      <c r="A17" t="s">
        <v>83</v>
      </c>
      <c r="B17" t="str">
        <f>IF('Development Budget Worksheet'!E23=0,"",'Development Budget Worksheet'!E23)</f>
        <v/>
      </c>
    </row>
    <row r="18" spans="1:2" x14ac:dyDescent="0.2">
      <c r="A18" t="s">
        <v>84</v>
      </c>
      <c r="B18" t="str">
        <f>IF('Development Budget Worksheet'!E24=0,"",'Development Budget Worksheet'!E24)</f>
        <v/>
      </c>
    </row>
    <row r="19" spans="1:2" x14ac:dyDescent="0.2">
      <c r="A19" t="s">
        <v>85</v>
      </c>
      <c r="B19" t="str">
        <f>IF('Development Budget Worksheet'!E25=0,"",'Development Budget Worksheet'!E25)</f>
        <v/>
      </c>
    </row>
    <row r="20" spans="1:2" x14ac:dyDescent="0.2">
      <c r="A20" t="s">
        <v>1590</v>
      </c>
      <c r="B20" t="str">
        <f>IF('Development Budget Worksheet'!E37=0,"",'Development Budget Worksheet'!E37)</f>
        <v/>
      </c>
    </row>
    <row r="21" spans="1:2" x14ac:dyDescent="0.2">
      <c r="A21" t="s">
        <v>10</v>
      </c>
      <c r="B21" t="str">
        <f>IF('Development Budget Worksheet'!E38=0,"",'Development Budget Worksheet'!E38)</f>
        <v/>
      </c>
    </row>
    <row r="22" spans="1:2" x14ac:dyDescent="0.2">
      <c r="A22" t="s">
        <v>528</v>
      </c>
      <c r="B22" t="str">
        <f>IF('Development Budget Worksheet'!E39=0,"",'Development Budget Worksheet'!E39)</f>
        <v/>
      </c>
    </row>
    <row r="23" spans="1:2" x14ac:dyDescent="0.2">
      <c r="A23" t="s">
        <v>1210</v>
      </c>
      <c r="B23" t="str">
        <f>IF('Development Budget Worksheet'!E45=0,"",'Development Budget Worksheet'!E45)</f>
        <v/>
      </c>
    </row>
    <row r="24" spans="1:2" x14ac:dyDescent="0.2">
      <c r="A24" t="s">
        <v>8</v>
      </c>
      <c r="B24" t="str">
        <f>IF('Development Budget Worksheet'!E46=0,"",'Development Budget Worksheet'!E46)</f>
        <v/>
      </c>
    </row>
    <row r="25" spans="1:2" x14ac:dyDescent="0.2">
      <c r="A25" t="s">
        <v>1211</v>
      </c>
      <c r="B25" t="str">
        <f>IF('Development Budget Worksheet'!E47=0,"",'Development Budget Worksheet'!E47)</f>
        <v/>
      </c>
    </row>
    <row r="26" spans="1:2" x14ac:dyDescent="0.2">
      <c r="A26" t="s">
        <v>1212</v>
      </c>
      <c r="B26" t="str">
        <f>IF('Development Budget Worksheet'!E48=0,"",'Development Budget Worksheet'!E48)</f>
        <v/>
      </c>
    </row>
    <row r="27" spans="1:2" x14ac:dyDescent="0.2">
      <c r="A27" t="s">
        <v>1213</v>
      </c>
      <c r="B27" t="str">
        <f>IF('Development Budget Worksheet'!E49=0,"",'Development Budget Worksheet'!E49)</f>
        <v/>
      </c>
    </row>
    <row r="28" spans="1:2" x14ac:dyDescent="0.2">
      <c r="A28" t="s">
        <v>1591</v>
      </c>
      <c r="B28" t="str">
        <f>IF('Development Budget Worksheet'!E50=0,"",'Development Budget Worksheet'!E50)</f>
        <v/>
      </c>
    </row>
    <row r="29" spans="1:2" x14ac:dyDescent="0.2">
      <c r="A29" t="s">
        <v>1592</v>
      </c>
      <c r="B29" t="str">
        <f>IF('Development Budget Worksheet'!E51=0,"",'Development Budget Worksheet'!E51)</f>
        <v/>
      </c>
    </row>
    <row r="30" spans="1:2" x14ac:dyDescent="0.2">
      <c r="A30" t="s">
        <v>1593</v>
      </c>
      <c r="B30" t="str">
        <f>IF('Development Budget Worksheet'!E56=0,"",'Development Budget Worksheet'!E56)</f>
        <v/>
      </c>
    </row>
    <row r="31" spans="1:2" x14ac:dyDescent="0.2">
      <c r="A31" t="s">
        <v>13</v>
      </c>
      <c r="B31" t="str">
        <f>IF('Development Budget Worksheet'!E57=0,"",'Development Budget Worksheet'!E57)</f>
        <v/>
      </c>
    </row>
    <row r="32" spans="1:2" x14ac:dyDescent="0.2">
      <c r="A32" t="s">
        <v>14</v>
      </c>
      <c r="B32" t="str">
        <f>IF('Development Budget Worksheet'!E58=0,"",'Development Budget Worksheet'!E58)</f>
        <v/>
      </c>
    </row>
    <row r="33" spans="1:2" x14ac:dyDescent="0.2">
      <c r="A33" t="s">
        <v>15</v>
      </c>
      <c r="B33" t="str">
        <f>IF('Development Budget Worksheet'!E59=0,"",'Development Budget Worksheet'!E59)</f>
        <v/>
      </c>
    </row>
    <row r="34" spans="1:2" x14ac:dyDescent="0.2">
      <c r="A34" t="s">
        <v>1594</v>
      </c>
      <c r="B34" t="str">
        <f>IF('Development Budget Worksheet'!E60=0,"",'Development Budget Worksheet'!E60)</f>
        <v/>
      </c>
    </row>
    <row r="35" spans="1:2" x14ac:dyDescent="0.2">
      <c r="A35" t="s">
        <v>16</v>
      </c>
      <c r="B35" t="str">
        <f>IF('Development Budget Worksheet'!E62=0,"",'Development Budget Worksheet'!E62)</f>
        <v/>
      </c>
    </row>
    <row r="36" spans="1:2" x14ac:dyDescent="0.2">
      <c r="A36" t="s">
        <v>17</v>
      </c>
      <c r="B36" t="str">
        <f>IF('Development Budget Worksheet'!E63=0,"",'Development Budget Worksheet'!E63)</f>
        <v/>
      </c>
    </row>
    <row r="37" spans="1:2" x14ac:dyDescent="0.2">
      <c r="A37" t="s">
        <v>18</v>
      </c>
      <c r="B37" t="str">
        <f>IF('Development Budget Worksheet'!E64=0,"",'Development Budget Worksheet'!E64)</f>
        <v/>
      </c>
    </row>
    <row r="38" spans="1:2" x14ac:dyDescent="0.2">
      <c r="A38" t="s">
        <v>19</v>
      </c>
      <c r="B38" t="str">
        <f>IF('Development Budget Worksheet'!E65=0,"",'Development Budget Worksheet'!E65)</f>
        <v/>
      </c>
    </row>
    <row r="39" spans="1:2" x14ac:dyDescent="0.2">
      <c r="A39" t="s">
        <v>1595</v>
      </c>
      <c r="B39" t="str">
        <f>IF('Development Budget Worksheet'!E66=0,"",'Development Budget Worksheet'!E66)</f>
        <v/>
      </c>
    </row>
    <row r="40" spans="1:2" x14ac:dyDescent="0.2">
      <c r="A40" t="s">
        <v>63</v>
      </c>
      <c r="B40" t="str">
        <f>IF('Development Budget Worksheet'!E67=0,"",'Development Budget Worksheet'!E67)</f>
        <v/>
      </c>
    </row>
    <row r="41" spans="1:2" x14ac:dyDescent="0.2">
      <c r="A41" t="s">
        <v>22</v>
      </c>
      <c r="B41" t="str">
        <f>IF('Development Budget Worksheet'!E72=0,"",'Development Budget Worksheet'!E72)</f>
        <v/>
      </c>
    </row>
    <row r="42" spans="1:2" x14ac:dyDescent="0.2">
      <c r="A42" t="s">
        <v>478</v>
      </c>
      <c r="B42" t="str">
        <f>IF('Development Budget Worksheet'!E73=0,"",'Development Budget Worksheet'!E73)</f>
        <v/>
      </c>
    </row>
    <row r="43" spans="1:2" x14ac:dyDescent="0.2">
      <c r="A43" t="s">
        <v>15</v>
      </c>
      <c r="B43" t="str">
        <f>IF('Development Budget Worksheet'!E74=0,"",'Development Budget Worksheet'!E74)</f>
        <v/>
      </c>
    </row>
    <row r="44" spans="1:2" x14ac:dyDescent="0.2">
      <c r="A44" t="s">
        <v>16</v>
      </c>
      <c r="B44" t="str">
        <f>IF('Development Budget Worksheet'!E75=0,"",'Development Budget Worksheet'!E75)</f>
        <v/>
      </c>
    </row>
    <row r="45" spans="1:2" x14ac:dyDescent="0.2">
      <c r="A45" t="s">
        <v>23</v>
      </c>
      <c r="B45" t="str">
        <f>IF('Development Budget Worksheet'!E77=0,"",'Development Budget Worksheet'!E77)</f>
        <v/>
      </c>
    </row>
    <row r="46" spans="1:2" x14ac:dyDescent="0.2">
      <c r="A46" t="s">
        <v>19</v>
      </c>
      <c r="B46" t="str">
        <f>IF('Development Budget Worksheet'!E78=0,"",'Development Budget Worksheet'!E78)</f>
        <v/>
      </c>
    </row>
    <row r="47" spans="1:2" x14ac:dyDescent="0.2">
      <c r="A47" t="s">
        <v>24</v>
      </c>
      <c r="B47" t="str">
        <f>IF('Development Budget Worksheet'!E79=0,"",'Development Budget Worksheet'!E79)</f>
        <v/>
      </c>
    </row>
    <row r="48" spans="1:2" x14ac:dyDescent="0.2">
      <c r="A48" t="s">
        <v>474</v>
      </c>
      <c r="B48" t="str">
        <f>IF('Development Budget Worksheet'!E84=0,"",'Development Budget Worksheet'!E84)</f>
        <v/>
      </c>
    </row>
    <row r="49" spans="1:2" x14ac:dyDescent="0.2">
      <c r="A49" t="s">
        <v>26</v>
      </c>
      <c r="B49" t="str">
        <f>IF('Development Budget Worksheet'!E85=0,"",'Development Budget Worksheet'!E85)</f>
        <v/>
      </c>
    </row>
    <row r="50" spans="1:2" x14ac:dyDescent="0.2">
      <c r="A50" t="s">
        <v>27</v>
      </c>
      <c r="B50" t="str">
        <f>IF('Development Budget Worksheet'!E86=0,"",'Development Budget Worksheet'!E86)</f>
        <v/>
      </c>
    </row>
    <row r="51" spans="1:2" x14ac:dyDescent="0.2">
      <c r="A51" t="s">
        <v>28</v>
      </c>
      <c r="B51" t="str">
        <f>IF('Development Budget Worksheet'!E87=0,"",'Development Budget Worksheet'!E87)</f>
        <v/>
      </c>
    </row>
    <row r="52" spans="1:2" x14ac:dyDescent="0.2">
      <c r="A52" t="s">
        <v>29</v>
      </c>
      <c r="B52" t="str">
        <f>IF('Development Budget Worksheet'!E88=0,"",'Development Budget Worksheet'!E88)</f>
        <v/>
      </c>
    </row>
    <row r="53" spans="1:2" x14ac:dyDescent="0.2">
      <c r="A53" t="s">
        <v>62</v>
      </c>
      <c r="B53" t="str">
        <f>IF('Development Budget Worksheet'!E90=0,"",'Development Budget Worksheet'!E90)</f>
        <v/>
      </c>
    </row>
    <row r="54" spans="1:2" x14ac:dyDescent="0.2">
      <c r="A54" t="s">
        <v>5</v>
      </c>
      <c r="B54" t="str">
        <f>IF('Development Budget Worksheet'!E91=0,"",'Development Budget Worksheet'!E91)</f>
        <v/>
      </c>
    </row>
    <row r="55" spans="1:2" x14ac:dyDescent="0.2">
      <c r="A55" t="s">
        <v>1216</v>
      </c>
      <c r="B55" t="str">
        <f>IF('Development Budget Worksheet'!E92=0,"",'Development Budget Worksheet'!E92)</f>
        <v/>
      </c>
    </row>
    <row r="56" spans="1:2" x14ac:dyDescent="0.2">
      <c r="A56" t="s">
        <v>32</v>
      </c>
      <c r="B56" t="str">
        <f>IF('Development Budget Worksheet'!E97=0,"",'Development Budget Worksheet'!E97)</f>
        <v/>
      </c>
    </row>
    <row r="57" spans="1:2" x14ac:dyDescent="0.2">
      <c r="A57" t="s">
        <v>33</v>
      </c>
      <c r="B57" t="str">
        <f>IF('Development Budget Worksheet'!E98=0,"",'Development Budget Worksheet'!E98)</f>
        <v/>
      </c>
    </row>
    <row r="58" spans="1:2" x14ac:dyDescent="0.2">
      <c r="A58" t="s">
        <v>20</v>
      </c>
      <c r="B58" t="str">
        <f>IF('Development Budget Worksheet'!E99=0,"",'Development Budget Worksheet'!E99)</f>
        <v/>
      </c>
    </row>
    <row r="59" spans="1:2" x14ac:dyDescent="0.2">
      <c r="A59" t="s">
        <v>34</v>
      </c>
      <c r="B59" t="str">
        <f>IF('Development Budget Worksheet'!E100=0,"",'Development Budget Worksheet'!E100)</f>
        <v/>
      </c>
    </row>
    <row r="60" spans="1:2" x14ac:dyDescent="0.2">
      <c r="A60" t="s">
        <v>1217</v>
      </c>
      <c r="B60" t="str">
        <f>IF('Development Budget Worksheet'!E111=0,"",'Development Budget Worksheet'!E111)</f>
        <v/>
      </c>
    </row>
    <row r="61" spans="1:2" x14ac:dyDescent="0.2">
      <c r="A61" t="s">
        <v>39</v>
      </c>
      <c r="B61" t="str">
        <f>IF('Development Budget Worksheet'!E114=0,"",'Development Budget Worksheet'!E114)</f>
        <v/>
      </c>
    </row>
    <row r="62" spans="1:2" x14ac:dyDescent="0.2">
      <c r="A62" t="s">
        <v>1225</v>
      </c>
      <c r="B62" t="str">
        <f>IF('Development Budget Worksheet'!E115=0,"",'Development Budget Worksheet'!E115)</f>
        <v/>
      </c>
    </row>
    <row r="63" spans="1:2" x14ac:dyDescent="0.2">
      <c r="A63" t="s">
        <v>527</v>
      </c>
      <c r="B63" s="689">
        <f>'Services Pro Forma'!D9</f>
        <v>0</v>
      </c>
    </row>
    <row r="64" spans="1:2" x14ac:dyDescent="0.2">
      <c r="A64" t="s">
        <v>1513</v>
      </c>
      <c r="B64" t="str">
        <f>IF('Housing Pro Forma'!E23=0,"",'Housing Pro Forma'!E23)</f>
        <v/>
      </c>
    </row>
    <row r="65" spans="1:2" x14ac:dyDescent="0.2">
      <c r="A65" t="s">
        <v>1514</v>
      </c>
      <c r="B65" t="str">
        <f>IF('Housing Pro Forma'!E24=0,"",'Housing Pro Forma'!E24)</f>
        <v/>
      </c>
    </row>
    <row r="66" spans="1:2" x14ac:dyDescent="0.2">
      <c r="A66" t="s">
        <v>1515</v>
      </c>
      <c r="B66" t="str">
        <f>IF('Housing Pro Forma'!E25=0,"",'Housing Pro Forma'!E25)</f>
        <v/>
      </c>
    </row>
    <row r="67" spans="1:2" x14ac:dyDescent="0.2">
      <c r="A67" t="s">
        <v>1588</v>
      </c>
      <c r="B67" t="str">
        <f>IF('Housing Pro Forma'!I5=0,"",'Housing Pro Forma'!I5)</f>
        <v/>
      </c>
    </row>
    <row r="68" spans="1:2" x14ac:dyDescent="0.2">
      <c r="A68" t="s">
        <v>1516</v>
      </c>
      <c r="B68" t="str">
        <f>IF('Housing Pro Forma'!E26=0,"",'Housing Pro Forma'!E26)</f>
        <v/>
      </c>
    </row>
    <row r="69" spans="1:2" x14ac:dyDescent="0.2">
      <c r="A69" t="s">
        <v>536</v>
      </c>
      <c r="B69" t="str">
        <f>IF('Housing Pro Forma'!I6=0,"",'Housing Pro Forma'!I6)</f>
        <v/>
      </c>
    </row>
    <row r="70" spans="1:2" x14ac:dyDescent="0.2">
      <c r="A70" t="s">
        <v>1517</v>
      </c>
      <c r="B70" t="str">
        <f>IF('Housing Pro Forma'!E27=0,"",'Housing Pro Forma'!E27)</f>
        <v/>
      </c>
    </row>
    <row r="71" spans="1:2" x14ac:dyDescent="0.2">
      <c r="A71" t="s">
        <v>1518</v>
      </c>
      <c r="B71" t="str">
        <f>IF('Housing Pro Forma'!E28=0,"",'Housing Pro Forma'!E28)</f>
        <v/>
      </c>
    </row>
    <row r="72" spans="1:2" x14ac:dyDescent="0.2">
      <c r="A72" t="s">
        <v>1519</v>
      </c>
      <c r="B72" t="str">
        <f>IF('Housing Pro Forma'!E29=0,"",'Housing Pro Forma'!E29)</f>
        <v/>
      </c>
    </row>
    <row r="73" spans="1:2" x14ac:dyDescent="0.2">
      <c r="A73" t="s">
        <v>1520</v>
      </c>
      <c r="B73" t="str">
        <f>IF('Housing Pro Forma'!E30=0,"",'Housing Pro Forma'!E30)</f>
        <v/>
      </c>
    </row>
    <row r="74" spans="1:2" x14ac:dyDescent="0.2">
      <c r="A74" t="s">
        <v>1521</v>
      </c>
      <c r="B74" t="str">
        <f>IF('Housing Pro Forma'!E31=0,"",'Housing Pro Forma'!E31)</f>
        <v/>
      </c>
    </row>
    <row r="75" spans="1:2" x14ac:dyDescent="0.2">
      <c r="A75" t="s">
        <v>1522</v>
      </c>
      <c r="B75" t="str">
        <f>IF('Housing Pro Forma'!E32=0,"",'Housing Pro Forma'!E32)</f>
        <v/>
      </c>
    </row>
    <row r="76" spans="1:2" x14ac:dyDescent="0.2">
      <c r="A76" t="s">
        <v>1523</v>
      </c>
      <c r="B76" t="str">
        <f>IF('Housing Pro Forma'!E33=0,"",'Housing Pro Forma'!E33)</f>
        <v/>
      </c>
    </row>
    <row r="77" spans="1:2" x14ac:dyDescent="0.2">
      <c r="A77" t="s">
        <v>1524</v>
      </c>
      <c r="B77" t="str">
        <f>IF('Housing Pro Forma'!E34=0,"",'Housing Pro Forma'!E34)</f>
        <v/>
      </c>
    </row>
    <row r="78" spans="1:2" x14ac:dyDescent="0.2">
      <c r="A78" t="s">
        <v>1525</v>
      </c>
      <c r="B78" t="str">
        <f>IF('Housing Pro Forma'!E35=0,"",'Housing Pro Forma'!E35)</f>
        <v/>
      </c>
    </row>
    <row r="79" spans="1:2" x14ac:dyDescent="0.2">
      <c r="A79" t="s">
        <v>1526</v>
      </c>
      <c r="B79" t="str">
        <f>IF('Housing Pro Forma'!E36=0,"",'Housing Pro Forma'!E36)</f>
        <v/>
      </c>
    </row>
    <row r="80" spans="1:2" x14ac:dyDescent="0.2">
      <c r="A80" t="s">
        <v>1527</v>
      </c>
      <c r="B80" t="str">
        <f>IF('Housing Pro Forma'!E37=0,"",'Housing Pro Forma'!E37)</f>
        <v/>
      </c>
    </row>
    <row r="81" spans="1:2" x14ac:dyDescent="0.2">
      <c r="A81" t="s">
        <v>1528</v>
      </c>
      <c r="B81" t="str">
        <f>IF('Housing Pro Forma'!E38=0,"",'Housing Pro Forma'!E38)</f>
        <v/>
      </c>
    </row>
    <row r="82" spans="1:2" x14ac:dyDescent="0.2">
      <c r="A82" t="s">
        <v>1529</v>
      </c>
      <c r="B82" t="str">
        <f>IF('Housing Pro Forma'!E39=0,"",'Housing Pro Forma'!E39)</f>
        <v/>
      </c>
    </row>
    <row r="83" spans="1:2" x14ac:dyDescent="0.2">
      <c r="A83" t="s">
        <v>1530</v>
      </c>
      <c r="B83" t="str">
        <f>IF('Housing Pro Forma'!E40=0,"",'Housing Pro Forma'!E40)</f>
        <v/>
      </c>
    </row>
    <row r="84" spans="1:2" x14ac:dyDescent="0.2">
      <c r="A84" t="s">
        <v>1533</v>
      </c>
      <c r="B84" t="str">
        <f>IF('Housing Pro Forma'!E43=0,"",'Housing Pro Forma'!E43)</f>
        <v/>
      </c>
    </row>
    <row r="85" spans="1:2" x14ac:dyDescent="0.2">
      <c r="A85" t="s">
        <v>1534</v>
      </c>
      <c r="B85" t="str">
        <f>IF('Housing Pro Forma'!E44=0,"",'Housing Pro Forma'!E44)</f>
        <v/>
      </c>
    </row>
    <row r="86" spans="1:2" x14ac:dyDescent="0.2">
      <c r="A86" t="s">
        <v>524</v>
      </c>
      <c r="B86">
        <f>'Housing Pro Forma'!E46</f>
        <v>0</v>
      </c>
    </row>
    <row r="87" spans="1:2" x14ac:dyDescent="0.2">
      <c r="A87" t="s">
        <v>525</v>
      </c>
      <c r="B87" t="str">
        <f>'Housing Pro Forma'!D46</f>
        <v/>
      </c>
    </row>
  </sheetData>
  <sheetProtection algorithmName="SHA-512" hashValue="1tEWMRWJAWedPnlO4xZNW42FCCctzAz2X2EFilmqcMb0SsdrHA58AUg2sqV4B9wnQywveG0Ths3Kw/H8mXSTaQ==" saltValue="rBVhLo+0VRN9IWSAPAGtG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3.xml><?xml version="1.0" encoding="utf-8"?>
<ds:datastoreItem xmlns:ds="http://schemas.openxmlformats.org/officeDocument/2006/customXml" ds:itemID="{1D8CDE42-7ADA-4EF9-B8AE-2E53D87FB4CB}">
  <ds:schemaRef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1193A0FE-F48B-412E-8CF1-F3E57CA0B2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12</vt:i4>
      </vt:variant>
    </vt:vector>
  </HeadingPairs>
  <TitlesOfParts>
    <vt:vector size="22" baseType="lpstr">
      <vt:lpstr>Project Information</vt:lpstr>
      <vt:lpstr>Development Budget Worksheet</vt:lpstr>
      <vt:lpstr>Sources of Funds Worksheet</vt:lpstr>
      <vt:lpstr>Housing Pro Forma</vt:lpstr>
      <vt:lpstr>Services Pro Forma</vt:lpstr>
      <vt:lpstr>Feasibility Analysis Worksheet</vt:lpstr>
      <vt:lpstr>Download</vt:lpstr>
      <vt:lpstr>Counties</vt:lpstr>
      <vt:lpstr>Revisions</vt:lpstr>
      <vt:lpstr>RBA Data</vt:lpstr>
      <vt:lpstr>County</vt:lpstr>
      <vt:lpstr>Counties!IncomeLimits</vt:lpstr>
      <vt:lpstr>'Development Budget Worksheet'!Print_Area</vt:lpstr>
      <vt:lpstr>'Feasibility Analysis Worksheet'!Print_Area</vt:lpstr>
      <vt:lpstr>'Housing Pro Forma'!Print_Area</vt:lpstr>
      <vt:lpstr>'Project Information'!Print_Area</vt:lpstr>
      <vt:lpstr>'Services Pro Forma'!Print_Area</vt:lpstr>
      <vt:lpstr>'Sources of Funds Worksheet'!Print_Area</vt:lpstr>
      <vt:lpstr>'Development Budget Worksheet'!Print_Titles</vt:lpstr>
      <vt:lpstr>'Housing Pro Forma'!Print_Titles</vt:lpstr>
      <vt:lpstr>'Services Pro Forma'!Print_Titles</vt:lpstr>
      <vt:lpstr>Counties!Year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2024-06-13T17:29:00Z</cp:lastPrinted>
  <dcterms:created xsi:type="dcterms:W3CDTF">1998-01-16T08:28:34Z</dcterms:created>
  <dcterms:modified xsi:type="dcterms:W3CDTF">2026-04-21T18:52:41Z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